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3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Иль!$A$1:$F$103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район!$17:$18,район!$20:$20,район!$25:$25,район!$27:$31,район!$35:$35,район!$38:$38,район!$49:$50,район!$74:$74,район!$81:$81,район!$98:$98,район!$104:$104,район!$131:$133,район!$136:$137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Иль!$A$1:$F$103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$104:$104,район!$111:$111,район!$131:$133,район!$136:$137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Иль!$A$1:$F$103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Справка!$A$1:$EY$32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Але!$19:$24,Але!$44:$44,Але!$46:$46,Але!$53:$53,Але!$55:$56,Але!$63:$64,Але!$73:$74,Але!$78:$82,Але!$85:$92</definedName>
    <definedName name="Z_5BFCA170_DEAE_4D2C_98A0_1E68B427AC01_.wvu.Rows" localSheetId="5" hidden="1">Иль!$19:$24,Иль!$30:$31,Иль!$33:$33,Иль!$45:$45,Иль!$50:$50,Иль!$60:$61,Иль!$68:$69,Иль!$77:$78,Иль!$80:$80,Иль!$85:$89,Иль!$92:$96</definedName>
    <definedName name="Z_5BFCA170_DEAE_4D2C_98A0_1E68B427AC01_.wvu.Rows" localSheetId="6" hidden="1">Кад!$19:$24,Кад!$44:$44,Кад!$46:$49,Кад!$56:$56,Кад!$58:$59,Кад!$66:$67,Кад!$88:$95</definedName>
    <definedName name="Z_5BFCA170_DEAE_4D2C_98A0_1E68B427AC01_.wvu.Rows" localSheetId="0" hidden="1">Консол!$22:$22,Консол!$43:$45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Мос!$19:$24,Мос!$44:$44,Мос!$47:$49,Мос!$57:$57,Мос!$59:$60,Мос!$67:$68,Мос!$80:$80,Мос!$83:$88,Мос!$93:$98</definedName>
    <definedName name="Z_5BFCA170_DEAE_4D2C_98A0_1E68B427AC01_.wvu.Rows" localSheetId="9" hidden="1">Ори!$19:$24,Ори!$32:$32,Ори!$44:$44,Ори!$48:$50,Ори!$57:$57,Ори!$59:$60,Ори!$67:$68,Ори!$77:$78,Ори!$80:$80,Ори!$84:$86,Ори!$90:$97</definedName>
    <definedName name="Z_5BFCA170_DEAE_4D2C_98A0_1E68B427AC01_.wvu.Rows" localSheetId="2" hidden="1">район!$17:$18,район!$20:$20,район!$28:$30,район!$49:$50,район!$74:$74,район!$81:$81,район!$98:$98,район!$104:$104,район!$131:$133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Сун!$19:$24,Сун!$49:$51,Сун!$58:$58,Сун!$60:$61,Сун!$68:$69,Сун!$78:$79,Сун!$81:$81,Сун!$84:$89,Сун!$92:$96</definedName>
    <definedName name="Z_5BFCA170_DEAE_4D2C_98A0_1E68B427AC01_.wvu.Rows" localSheetId="10" hidden="1">Сят!$19:$19,Сят!$45:$47,Сят!$57:$57,Сят!$59:$60,Сят!$67:$68,Сят!$83:$85,Сят!$89:$96</definedName>
    <definedName name="Z_5BFCA170_DEAE_4D2C_98A0_1E68B427AC01_.wvu.Rows" localSheetId="11" hidden="1">Тор!$19:$19,Тор!$50:$50,Тор!$57:$57,Тор!$59:$60,Тор!$67:$68,Тор!$74:$74,Тор!$78:$79,Тор!$83:$93</definedName>
    <definedName name="Z_5BFCA170_DEAE_4D2C_98A0_1E68B427AC01_.wvu.Rows" localSheetId="12" hidden="1">Хор!$19:$24,Хор!$32:$32,Хор!$40:$40,Хор!$44:$48,Хор!$55:$55,Хор!$57:$58,Хор!$65:$66,Хор!$80:$84,Хор!$87:$94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Юсь!$20:$24,Юсь!$40:$40,Юсь!$44:$49,Юсь!$58:$58,Юсь!$60:$61,Юсь!$68:$69,Юсь!$78:$79,Юсь!$83:$87,Юсь!$90:$97</definedName>
    <definedName name="Z_5BFCA170_DEAE_4D2C_98A0_1E68B427AC01_.wvu.Rows" localSheetId="17" hidden="1">Яра!$19:$24,Яра!$46:$50,Яра!$58:$58,Яра!$60:$61,Яра!$68:$69,Яра!$79:$79,Яра!$84:$88,Яра!$91:$98</definedName>
    <definedName name="Z_5BFCA170_DEAE_4D2C_98A0_1E68B427AC01_.wvu.Rows" localSheetId="18" hidden="1">Яро!$19:$24,Яро!$29:$30,Яро!$32:$32,Яро!$43:$43,Яро!$54:$54,Яро!$56:$57,Яро!$64:$65,Яро!$74:$75,Яро!$79:$83,Яро!$86:$93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Иль!$A$1:$F$103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Але!$19:$24,Але!$28:$36,Але!$46:$46,Але!$53:$53,Але!$55:$57,Але!$63:$64,Але!$69:$69,Але!$71:$71,Але!$73:$74,Але!$78:$82,Але!$85:$92,Але!$141:$141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Иль!$19:$24,Иль!$30:$39,Иль!$45:$45,Иль!$47:$50,Иль!$58:$58,Иль!$60:$62,Иль!$68:$69,Иль!$77:$78,Иль!$80:$80,Иль!$85:$89,Иль!$92:$99,Иль!$142:$142</definedName>
    <definedName name="Z_A54C432C_6C68_4B53_A75C_446EB3A61B2B_.wvu.Rows" localSheetId="6" hidden="1">Кад!$19:$24,Кад!$29:$35,Кад!$38:$38,Кад!$42:$42,Кад!$44:$44,Кад!$46:$49,Кад!$56:$56,Кад!$58:$60,Кад!$66:$67,Кад!$76:$77,Кад!$81:$85,Кад!$88:$95,Кад!$141:$141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район!$17:$18,район!$20:$20,район!$25:$25,район!$27:$31,район!$35:$35,район!$38:$38,район!$49:$50,район!$74:$74,район!$81:$81,район!$98:$98,район!$104:$104,район!$131:$133,район!$136:$137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Хор!$19:$24,Хор!$28:$36,Хор!$40:$40,Хор!$44:$44,Хор!$46:$48,Хор!$55:$55,Хор!$57:$59,Хор!$65:$66,Хор!$71:$71,Хор!$75:$76,Хор!$80:$84,Хор!$87:$94,Хор!$141:$141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Шать!$19:$25,Шать!$31:$33,Шать!$46:$49,Шать!$57:$57,Шать!$59:$60,Шать!$67:$68,Шать!$77:$78,Шать!$82:$85,Шать!$89:$96,Шать!$141:$141</definedName>
    <definedName name="Z_A54C432C_6C68_4B53_A75C_446EB3A61B2B_.wvu.Rows" localSheetId="15" hidden="1">Юнг!$19:$24,Юнг!$31:$35,Юнг!$38:$38,Юнг!$45:$47,Юнг!$49:$49,Юнг!$56:$56,Юнг!$58:$60,Юнг!$66:$68,Юнг!$76:$77,Юнг!$81:$85,Юнг!$88:$95,Юнг!$141:$141</definedName>
    <definedName name="Z_A54C432C_6C68_4B53_A75C_446EB3A61B2B_.wvu.Rows" localSheetId="16" hidden="1">Юсь!$19:$24,Юсь!$31:$33,Юсь!$36:$36,Юсь!$44:$50,Юсь!$58:$58,Юсь!$60:$61,Юсь!$68:$69,Юсь!$78:$79,Юсь!$83:$87,Юсь!$90:$97,Юсь!$141:$141</definedName>
    <definedName name="Z_A54C432C_6C68_4B53_A75C_446EB3A61B2B_.wvu.Rows" localSheetId="17" hidden="1">Яра!$19:$24,Яра!$32:$36,Яра!$46:$50,Яра!$58:$58,Яра!$60:$62,Яра!$68:$69,Яра!$79:$80,Яра!$84:$88,Яра!$91:$98,Яра!$143:$143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Яро!$19:$24,Яро!$28:$36,Яро!$43:$44,Яро!$46:$46,Яро!$54:$54,Яро!$56:$58,Яро!$64:$65,Яро!$74:$74,Яро!$79:$83,Яро!$86:$93</definedName>
    <definedName name="_xlnm.Print_Area" localSheetId="5">Иль!$A$1:$F$103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2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</customWorkbookViews>
</workbook>
</file>

<file path=xl/calcChain.xml><?xml version="1.0" encoding="utf-8"?>
<calcChain xmlns="http://schemas.openxmlformats.org/spreadsheetml/2006/main">
  <c r="AT28" i="2"/>
  <c r="F28" i="18"/>
  <c r="E28"/>
  <c r="D26"/>
  <c r="C67"/>
  <c r="F72"/>
  <c r="E72"/>
  <c r="D73"/>
  <c r="F29"/>
  <c r="E29"/>
  <c r="C114" i="3"/>
  <c r="C97"/>
  <c r="E92"/>
  <c r="F86" i="15"/>
  <c r="E86"/>
  <c r="F85"/>
  <c r="E85"/>
  <c r="F84"/>
  <c r="E84"/>
  <c r="F83"/>
  <c r="E83"/>
  <c r="D80" i="14"/>
  <c r="C42"/>
  <c r="C39" i="13"/>
  <c r="C42" i="12"/>
  <c r="C45"/>
  <c r="CR17" i="2"/>
  <c r="C40" i="7"/>
  <c r="D13"/>
  <c r="C46" i="6"/>
  <c r="C44"/>
  <c r="D41"/>
  <c r="C41"/>
  <c r="CS16" i="2"/>
  <c r="CR16"/>
  <c r="BQ14"/>
  <c r="E51" i="6"/>
  <c r="F51"/>
  <c r="C42"/>
  <c r="D15"/>
  <c r="D67" i="5"/>
  <c r="C42"/>
  <c r="D16"/>
  <c r="C16"/>
  <c r="D15"/>
  <c r="D16" i="4"/>
  <c r="D38"/>
  <c r="C42"/>
  <c r="C39"/>
  <c r="BR14" i="2"/>
  <c r="D15" i="4"/>
  <c r="CV26" i="2"/>
  <c r="CV22"/>
  <c r="CV21"/>
  <c r="D123" i="3"/>
  <c r="D72"/>
  <c r="D90" i="18"/>
  <c r="D40" i="16"/>
  <c r="D41" i="12"/>
  <c r="E49"/>
  <c r="F49"/>
  <c r="D40" i="11"/>
  <c r="BR25" i="2" l="1"/>
  <c r="CS23"/>
  <c r="CS19"/>
  <c r="CS18"/>
  <c r="CS14" l="1"/>
  <c r="C72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D67" i="6" l="1"/>
  <c r="F33" i="5"/>
  <c r="AE14" i="2"/>
  <c r="CR14"/>
  <c r="C33" i="3"/>
  <c r="CR27" i="2"/>
  <c r="CT27" s="1"/>
  <c r="CR25"/>
  <c r="CR24"/>
  <c r="CR21"/>
  <c r="CT21" s="1"/>
  <c r="CR19"/>
  <c r="CR18"/>
  <c r="CS15"/>
  <c r="CR15"/>
  <c r="F79" i="13"/>
  <c r="C90" i="18"/>
  <c r="F90" s="1"/>
  <c r="C77"/>
  <c r="C75" i="17"/>
  <c r="E51"/>
  <c r="F51"/>
  <c r="C38"/>
  <c r="C73" i="16"/>
  <c r="C40"/>
  <c r="E40" s="1"/>
  <c r="E50" i="15"/>
  <c r="F50"/>
  <c r="C75" i="14"/>
  <c r="C41"/>
  <c r="F41" s="1"/>
  <c r="E50"/>
  <c r="F50"/>
  <c r="C77" i="13"/>
  <c r="E75" i="12"/>
  <c r="E72"/>
  <c r="E31"/>
  <c r="F31"/>
  <c r="D29"/>
  <c r="F29" s="1"/>
  <c r="C81" i="11"/>
  <c r="C40"/>
  <c r="E40" s="1"/>
  <c r="E49"/>
  <c r="F49"/>
  <c r="C40" i="10"/>
  <c r="F40" s="1"/>
  <c r="E79" i="9"/>
  <c r="C40"/>
  <c r="E50"/>
  <c r="F50"/>
  <c r="E47" i="8"/>
  <c r="F47"/>
  <c r="E48"/>
  <c r="F48"/>
  <c r="E49"/>
  <c r="F49"/>
  <c r="E50"/>
  <c r="F50"/>
  <c r="C40"/>
  <c r="F40" s="1"/>
  <c r="E28" i="3"/>
  <c r="E29"/>
  <c r="E30"/>
  <c r="E31"/>
  <c r="C75" i="6"/>
  <c r="C66"/>
  <c r="F80" i="5"/>
  <c r="F75"/>
  <c r="C26"/>
  <c r="D41"/>
  <c r="F41" s="1"/>
  <c r="E48"/>
  <c r="F48"/>
  <c r="C41"/>
  <c r="E48" i="12"/>
  <c r="F48"/>
  <c r="E66" i="3"/>
  <c r="E61"/>
  <c r="E56"/>
  <c r="E38"/>
  <c r="G24" i="1"/>
  <c r="E79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V14"/>
  <c r="C55" i="7"/>
  <c r="D108" i="3"/>
  <c r="F108" s="1"/>
  <c r="C108"/>
  <c r="E110"/>
  <c r="E111"/>
  <c r="E101"/>
  <c r="E90"/>
  <c r="E73"/>
  <c r="E74"/>
  <c r="E69"/>
  <c r="E70"/>
  <c r="E59"/>
  <c r="D51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C71"/>
  <c r="E35" i="11"/>
  <c r="F35"/>
  <c r="E34"/>
  <c r="F34"/>
  <c r="E33"/>
  <c r="C7" i="8"/>
  <c r="F7" s="1"/>
  <c r="C84" i="6"/>
  <c r="D7" i="5"/>
  <c r="C52" i="4"/>
  <c r="D12"/>
  <c r="D4" s="1"/>
  <c r="C67"/>
  <c r="BP23" i="2"/>
  <c r="BO21"/>
  <c r="D96" i="12"/>
  <c r="ER22" i="2" s="1"/>
  <c r="D26" i="6"/>
  <c r="F35" i="16"/>
  <c r="E35"/>
  <c r="D34"/>
  <c r="E34" s="1"/>
  <c r="D12" i="13"/>
  <c r="D5"/>
  <c r="D78"/>
  <c r="EL23" i="2" s="1"/>
  <c r="D74" i="13"/>
  <c r="EI23" i="2" s="1"/>
  <c r="D62" i="13"/>
  <c r="D69"/>
  <c r="D54"/>
  <c r="D26"/>
  <c r="F26" s="1"/>
  <c r="E81" i="3"/>
  <c r="AQ27" i="2"/>
  <c r="AQ25"/>
  <c r="AQ18"/>
  <c r="AQ19"/>
  <c r="AR19" s="1"/>
  <c r="AQ17"/>
  <c r="AT29"/>
  <c r="BU35"/>
  <c r="E87" i="16"/>
  <c r="C80" i="14"/>
  <c r="E15"/>
  <c r="C74" i="13"/>
  <c r="EH23" i="2" s="1"/>
  <c r="E42" i="10"/>
  <c r="F42"/>
  <c r="BO19" i="2"/>
  <c r="BP19" s="1"/>
  <c r="F74" i="9"/>
  <c r="F35"/>
  <c r="E35"/>
  <c r="D34"/>
  <c r="C34"/>
  <c r="E34" s="1"/>
  <c r="AZ15" i="2"/>
  <c r="AZ17"/>
  <c r="AZ19"/>
  <c r="AZ20"/>
  <c r="AZ21"/>
  <c r="AZ24"/>
  <c r="AZ26"/>
  <c r="AZ27"/>
  <c r="AZ28"/>
  <c r="D68" i="3"/>
  <c r="G21" i="1" s="1"/>
  <c r="F66" i="3"/>
  <c r="E36" i="18"/>
  <c r="F36"/>
  <c r="E48" i="16"/>
  <c r="F48"/>
  <c r="E46"/>
  <c r="E47"/>
  <c r="E42"/>
  <c r="F42"/>
  <c r="C34" i="15"/>
  <c r="BN25" i="2" s="1"/>
  <c r="E36" i="15"/>
  <c r="F36"/>
  <c r="D34"/>
  <c r="E70" i="14"/>
  <c r="D34"/>
  <c r="BO24" i="2" s="1"/>
  <c r="C34" i="14"/>
  <c r="E36" i="12"/>
  <c r="F36"/>
  <c r="C35"/>
  <c r="E42" i="11"/>
  <c r="F42"/>
  <c r="E42" i="8"/>
  <c r="F42"/>
  <c r="E85" i="7"/>
  <c r="D36"/>
  <c r="E42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E40" i="9"/>
  <c r="D56" i="12"/>
  <c r="D35"/>
  <c r="CS26" i="2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D33" i="3"/>
  <c r="G15" i="1" s="1"/>
  <c r="D61" i="19"/>
  <c r="DZ29" i="2" s="1"/>
  <c r="D38" i="19"/>
  <c r="D35" i="18"/>
  <c r="BO28" i="2" s="1"/>
  <c r="BO20"/>
  <c r="BP20" s="1"/>
  <c r="D87" i="14"/>
  <c r="ER24" i="2" s="1"/>
  <c r="D36" i="8"/>
  <c r="E27" i="19"/>
  <c r="E56" i="16"/>
  <c r="E57"/>
  <c r="E58"/>
  <c r="E59"/>
  <c r="AQ29" i="2"/>
  <c r="AQ14"/>
  <c r="CL18"/>
  <c r="AS17"/>
  <c r="AA24"/>
  <c r="D114" i="3"/>
  <c r="G35" i="1" s="1"/>
  <c r="D35" s="1"/>
  <c r="F117" i="3"/>
  <c r="E117"/>
  <c r="D66" i="8"/>
  <c r="EC18" i="2" s="1"/>
  <c r="C66" i="8"/>
  <c r="C14" i="14"/>
  <c r="F35" i="15"/>
  <c r="E35"/>
  <c r="BO25" i="2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AY15"/>
  <c r="AY26"/>
  <c r="BA26" s="1"/>
  <c r="AS24"/>
  <c r="AQ26"/>
  <c r="AQ24"/>
  <c r="AQ22"/>
  <c r="AQ16"/>
  <c r="AQ15"/>
  <c r="D87" i="15"/>
  <c r="ER25" i="2" s="1"/>
  <c r="D20" i="12"/>
  <c r="AK22" i="2" s="1"/>
  <c r="AL22" s="1"/>
  <c r="C20" i="12"/>
  <c r="D26" i="5"/>
  <c r="E26" s="1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D26"/>
  <c r="D17" i="5"/>
  <c r="D67" i="4"/>
  <c r="DQ20" i="2"/>
  <c r="DQ17"/>
  <c r="D5" i="15"/>
  <c r="D5" i="9"/>
  <c r="C35" i="18"/>
  <c r="C34" i="8"/>
  <c r="AP18" i="2"/>
  <c r="AR18" s="1"/>
  <c r="AT19"/>
  <c r="AS18"/>
  <c r="E40" i="3"/>
  <c r="F40"/>
  <c r="C51"/>
  <c r="F20" i="1" s="1"/>
  <c r="D64" i="12"/>
  <c r="DZ22" i="2" s="1"/>
  <c r="AQ21"/>
  <c r="D65" i="17"/>
  <c r="D56" i="15"/>
  <c r="D37" i="12"/>
  <c r="E15" i="5"/>
  <c r="E16"/>
  <c r="D60" i="4"/>
  <c r="G9" i="1"/>
  <c r="BE22" i="2"/>
  <c r="D31" i="7"/>
  <c r="J14" i="2"/>
  <c r="J15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R24" s="1"/>
  <c r="AP22"/>
  <c r="AR22" s="1"/>
  <c r="AP17"/>
  <c r="AP14"/>
  <c r="AS26"/>
  <c r="AS22"/>
  <c r="AS21"/>
  <c r="D21" i="3"/>
  <c r="D5"/>
  <c r="D128"/>
  <c r="G38" i="1" s="1"/>
  <c r="C96" i="12"/>
  <c r="EQ22" i="2" s="1"/>
  <c r="D7" i="16"/>
  <c r="E42" i="9"/>
  <c r="F42"/>
  <c r="D83" i="4"/>
  <c r="ER14" i="2" s="1"/>
  <c r="C83" i="4"/>
  <c r="D76"/>
  <c r="EL14" i="2" s="1"/>
  <c r="C76" i="4"/>
  <c r="D72"/>
  <c r="C72"/>
  <c r="D62"/>
  <c r="C62"/>
  <c r="EB14" i="2" s="1"/>
  <c r="C60" i="4"/>
  <c r="D52"/>
  <c r="D36" i="16"/>
  <c r="D138" i="3"/>
  <c r="D16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D75"/>
  <c r="D70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D4" s="1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7" i="3"/>
  <c r="G29" i="1" s="1"/>
  <c r="C138" i="3"/>
  <c r="F138" s="1"/>
  <c r="D26" i="16"/>
  <c r="D7" i="4"/>
  <c r="D66" i="9"/>
  <c r="D56"/>
  <c r="AD23" i="2"/>
  <c r="I23"/>
  <c r="L23"/>
  <c r="I24"/>
  <c r="AD24"/>
  <c r="AQ28"/>
  <c r="AQ23"/>
  <c r="AR23" s="1"/>
  <c r="AQ20"/>
  <c r="AR20" s="1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4" i="3"/>
  <c r="D23"/>
  <c r="BU33" i="2"/>
  <c r="DF33"/>
  <c r="D46" i="3"/>
  <c r="F46" s="1"/>
  <c r="D41"/>
  <c r="C88" i="17"/>
  <c r="DP14" i="2"/>
  <c r="D26" i="17"/>
  <c r="D32" i="18"/>
  <c r="D14" i="4"/>
  <c r="C78" i="13"/>
  <c r="EK23" i="2" s="1"/>
  <c r="C26" i="11"/>
  <c r="C26" i="8"/>
  <c r="C32" i="6"/>
  <c r="D67" i="18"/>
  <c r="E67" s="1"/>
  <c r="C64" i="15"/>
  <c r="C80" i="8"/>
  <c r="E82"/>
  <c r="F82"/>
  <c r="CG23" i="2"/>
  <c r="CH23" s="1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D81" i="12"/>
  <c r="EL22" i="2" s="1"/>
  <c r="C81" i="12"/>
  <c r="EK22" i="2" s="1"/>
  <c r="D94" i="8"/>
  <c r="D65" i="6"/>
  <c r="D65" i="5"/>
  <c r="D100" s="1"/>
  <c r="D103" i="3"/>
  <c r="CO19" i="2"/>
  <c r="CO27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F7" s="1"/>
  <c r="C7" i="15"/>
  <c r="C17" i="14"/>
  <c r="C7"/>
  <c r="C7" i="13"/>
  <c r="C7" i="12"/>
  <c r="C7" i="11"/>
  <c r="C7" i="10"/>
  <c r="F7" s="1"/>
  <c r="C7" i="9"/>
  <c r="C7" i="7"/>
  <c r="F7" s="1"/>
  <c r="C7" i="6"/>
  <c r="C7" i="4"/>
  <c r="E7" s="1"/>
  <c r="D12" i="11"/>
  <c r="C128" i="3"/>
  <c r="F38" i="1" s="1"/>
  <c r="C123" i="3"/>
  <c r="F37" i="1" s="1"/>
  <c r="D120" i="3"/>
  <c r="C120"/>
  <c r="F36" i="1" s="1"/>
  <c r="C131" i="3"/>
  <c r="E131" s="1"/>
  <c r="D112"/>
  <c r="C103"/>
  <c r="F32" i="1" s="1"/>
  <c r="D95" i="3"/>
  <c r="D142" s="1"/>
  <c r="D97"/>
  <c r="E97" s="1"/>
  <c r="C87"/>
  <c r="F29" i="1" s="1"/>
  <c r="C7" i="3"/>
  <c r="F6" i="1" s="1"/>
  <c r="D12" i="6"/>
  <c r="F12" s="1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D5" i="19"/>
  <c r="D7"/>
  <c r="E7" s="1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31"/>
  <c r="F31" s="1"/>
  <c r="C26"/>
  <c r="F27"/>
  <c r="E28"/>
  <c r="F28"/>
  <c r="C29"/>
  <c r="D29"/>
  <c r="E30"/>
  <c r="F30"/>
  <c r="E32"/>
  <c r="F32"/>
  <c r="E33"/>
  <c r="F33"/>
  <c r="C34"/>
  <c r="BQ29" i="2" s="1"/>
  <c r="D34" i="19"/>
  <c r="E35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64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91"/>
  <c r="F91"/>
  <c r="E92"/>
  <c r="F92"/>
  <c r="E93"/>
  <c r="F93"/>
  <c r="D5" i="18"/>
  <c r="D7"/>
  <c r="E7" s="1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D25" s="1"/>
  <c r="E31"/>
  <c r="F31"/>
  <c r="C32"/>
  <c r="E33"/>
  <c r="F33"/>
  <c r="E34"/>
  <c r="F34"/>
  <c r="C37"/>
  <c r="D37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C25" s="1"/>
  <c r="D29"/>
  <c r="E30"/>
  <c r="F30"/>
  <c r="C31"/>
  <c r="BE27" i="2" s="1"/>
  <c r="E32" i="17"/>
  <c r="F32"/>
  <c r="E33"/>
  <c r="F33"/>
  <c r="C34"/>
  <c r="D34"/>
  <c r="BR27" i="2" s="1"/>
  <c r="E35" i="17"/>
  <c r="F35"/>
  <c r="E36"/>
  <c r="F36"/>
  <c r="F39"/>
  <c r="E42"/>
  <c r="F42"/>
  <c r="E43"/>
  <c r="F43"/>
  <c r="C46"/>
  <c r="E46" s="1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84"/>
  <c r="F84"/>
  <c r="E85"/>
  <c r="F85"/>
  <c r="E86"/>
  <c r="F86"/>
  <c r="F87"/>
  <c r="D88"/>
  <c r="F89"/>
  <c r="E90"/>
  <c r="F90"/>
  <c r="E91"/>
  <c r="E92"/>
  <c r="E93"/>
  <c r="C94"/>
  <c r="D94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F12" s="1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6" s="1"/>
  <c r="E27"/>
  <c r="F27"/>
  <c r="E28"/>
  <c r="F28"/>
  <c r="C29"/>
  <c r="F29" s="1"/>
  <c r="D29"/>
  <c r="E30"/>
  <c r="F30"/>
  <c r="C31"/>
  <c r="D31"/>
  <c r="E32"/>
  <c r="F32"/>
  <c r="E33"/>
  <c r="F33"/>
  <c r="C37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76"/>
  <c r="F76"/>
  <c r="E77"/>
  <c r="F77"/>
  <c r="E78"/>
  <c r="F78"/>
  <c r="C79"/>
  <c r="EK26" i="2" s="1"/>
  <c r="D79" i="16"/>
  <c r="E80"/>
  <c r="F80"/>
  <c r="C81"/>
  <c r="D81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D92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F20" s="1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E31" s="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6" s="1"/>
  <c r="E67"/>
  <c r="F67"/>
  <c r="E68"/>
  <c r="F68"/>
  <c r="E69"/>
  <c r="F69"/>
  <c r="E70"/>
  <c r="F70"/>
  <c r="D71"/>
  <c r="E72"/>
  <c r="F72"/>
  <c r="E73"/>
  <c r="F73"/>
  <c r="F74"/>
  <c r="E75"/>
  <c r="F75"/>
  <c r="D76"/>
  <c r="E77"/>
  <c r="F77"/>
  <c r="E78"/>
  <c r="F78"/>
  <c r="C80"/>
  <c r="D80"/>
  <c r="E81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EV25" s="1"/>
  <c r="D93" i="15"/>
  <c r="EU25" i="2" s="1"/>
  <c r="E94" i="15"/>
  <c r="F94"/>
  <c r="E95"/>
  <c r="F95"/>
  <c r="E96"/>
  <c r="F96"/>
  <c r="D7" i="14"/>
  <c r="D14"/>
  <c r="D17"/>
  <c r="C5"/>
  <c r="F5" s="1"/>
  <c r="E6"/>
  <c r="F6"/>
  <c r="E8"/>
  <c r="F8"/>
  <c r="E9"/>
  <c r="F9"/>
  <c r="E10"/>
  <c r="F10"/>
  <c r="E11"/>
  <c r="F11"/>
  <c r="C12"/>
  <c r="D12"/>
  <c r="E13"/>
  <c r="F13"/>
  <c r="F15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67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D82"/>
  <c r="E83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94"/>
  <c r="F94"/>
  <c r="E95"/>
  <c r="F95"/>
  <c r="E96"/>
  <c r="F96"/>
  <c r="D17" i="13"/>
  <c r="C5"/>
  <c r="E5" s="1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F20" s="1"/>
  <c r="E21"/>
  <c r="F21"/>
  <c r="E22"/>
  <c r="F22"/>
  <c r="E23"/>
  <c r="F23"/>
  <c r="E24"/>
  <c r="F24"/>
  <c r="C26"/>
  <c r="E27"/>
  <c r="F27"/>
  <c r="E28"/>
  <c r="F28"/>
  <c r="C29"/>
  <c r="D29"/>
  <c r="AZ23" i="2" s="1"/>
  <c r="BA23" s="1"/>
  <c r="E30" i="13"/>
  <c r="F30"/>
  <c r="D31"/>
  <c r="E32"/>
  <c r="F32"/>
  <c r="E33"/>
  <c r="F33"/>
  <c r="C34"/>
  <c r="D34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65"/>
  <c r="F65"/>
  <c r="E66"/>
  <c r="F66"/>
  <c r="E67"/>
  <c r="F67"/>
  <c r="E68"/>
  <c r="F68"/>
  <c r="C69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86"/>
  <c r="F86"/>
  <c r="E87"/>
  <c r="F87"/>
  <c r="E88"/>
  <c r="E89"/>
  <c r="E90"/>
  <c r="C91"/>
  <c r="D91"/>
  <c r="EU23" i="2" s="1"/>
  <c r="E92" i="13"/>
  <c r="F92"/>
  <c r="E93"/>
  <c r="F93"/>
  <c r="E94"/>
  <c r="F94"/>
  <c r="D5" i="12"/>
  <c r="D7"/>
  <c r="F7" s="1"/>
  <c r="D12"/>
  <c r="F12" s="1"/>
  <c r="D14"/>
  <c r="C5"/>
  <c r="E5" s="1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F26" s="1"/>
  <c r="C26"/>
  <c r="E27"/>
  <c r="F27"/>
  <c r="E28"/>
  <c r="F28"/>
  <c r="C29"/>
  <c r="AY22" i="2" s="1"/>
  <c r="E30" i="12"/>
  <c r="F30"/>
  <c r="C32"/>
  <c r="D32"/>
  <c r="BF22" i="2" s="1"/>
  <c r="E33" i="12"/>
  <c r="F33"/>
  <c r="E34"/>
  <c r="F34"/>
  <c r="C37"/>
  <c r="F37" s="1"/>
  <c r="E38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4" s="1"/>
  <c r="E65"/>
  <c r="F65"/>
  <c r="C66"/>
  <c r="EB22" i="2" s="1"/>
  <c r="D66" i="12"/>
  <c r="EC22" i="2" s="1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E88" s="1"/>
  <c r="D88"/>
  <c r="E89"/>
  <c r="F89"/>
  <c r="E90"/>
  <c r="F90"/>
  <c r="E91"/>
  <c r="E92"/>
  <c r="E93"/>
  <c r="E94"/>
  <c r="F94"/>
  <c r="E95"/>
  <c r="F95"/>
  <c r="E97"/>
  <c r="F97"/>
  <c r="D5" i="11"/>
  <c r="D7"/>
  <c r="F7" s="1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73"/>
  <c r="F73"/>
  <c r="E75"/>
  <c r="F75"/>
  <c r="C76"/>
  <c r="D76"/>
  <c r="E79"/>
  <c r="F79"/>
  <c r="F81"/>
  <c r="C82"/>
  <c r="EN21" i="2" s="1"/>
  <c r="D82" i="11"/>
  <c r="EO21" i="2" s="1"/>
  <c r="E83" i="11"/>
  <c r="F83"/>
  <c r="E84"/>
  <c r="F84"/>
  <c r="E85"/>
  <c r="F85"/>
  <c r="F86"/>
  <c r="C87"/>
  <c r="EQ21" i="2" s="1"/>
  <c r="D87" i="11"/>
  <c r="E88"/>
  <c r="F88"/>
  <c r="E89"/>
  <c r="F89"/>
  <c r="E90"/>
  <c r="E91"/>
  <c r="E92"/>
  <c r="C93"/>
  <c r="ET21" i="2" s="1"/>
  <c r="D93" i="11"/>
  <c r="E94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6" s="1"/>
  <c r="E27"/>
  <c r="F27"/>
  <c r="E28"/>
  <c r="F28"/>
  <c r="C29"/>
  <c r="D29"/>
  <c r="E30"/>
  <c r="F30"/>
  <c r="C31"/>
  <c r="D31"/>
  <c r="E32"/>
  <c r="F32"/>
  <c r="E33"/>
  <c r="F33"/>
  <c r="C36"/>
  <c r="D36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D66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89"/>
  <c r="F89"/>
  <c r="E90"/>
  <c r="F90"/>
  <c r="E91"/>
  <c r="E92"/>
  <c r="E93"/>
  <c r="C94"/>
  <c r="D94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F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D36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F64" s="1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92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F14" s="1"/>
  <c r="D14"/>
  <c r="E15"/>
  <c r="F15"/>
  <c r="E16"/>
  <c r="F16"/>
  <c r="C17"/>
  <c r="D17"/>
  <c r="E18"/>
  <c r="F18"/>
  <c r="E19"/>
  <c r="F19"/>
  <c r="C20"/>
  <c r="F20" s="1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D97" s="1"/>
  <c r="E58"/>
  <c r="F58"/>
  <c r="F59"/>
  <c r="E60"/>
  <c r="F60"/>
  <c r="E61"/>
  <c r="F61"/>
  <c r="E62"/>
  <c r="F62"/>
  <c r="E63"/>
  <c r="F63"/>
  <c r="C64"/>
  <c r="DY18" i="2" s="1"/>
  <c r="D64" i="8"/>
  <c r="E65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89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0" s="1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F40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F79" s="1"/>
  <c r="E80"/>
  <c r="F80"/>
  <c r="C81"/>
  <c r="E82"/>
  <c r="F82"/>
  <c r="E83"/>
  <c r="F83"/>
  <c r="E84"/>
  <c r="F84"/>
  <c r="F85"/>
  <c r="C86"/>
  <c r="E87"/>
  <c r="F87"/>
  <c r="E88"/>
  <c r="F88"/>
  <c r="E89"/>
  <c r="E90"/>
  <c r="E91"/>
  <c r="C92"/>
  <c r="D92"/>
  <c r="E93"/>
  <c r="F93"/>
  <c r="E94"/>
  <c r="F94"/>
  <c r="E95"/>
  <c r="F95"/>
  <c r="C5" i="6"/>
  <c r="E6"/>
  <c r="F6"/>
  <c r="D7"/>
  <c r="E7" s="1"/>
  <c r="E8"/>
  <c r="F8"/>
  <c r="E9"/>
  <c r="F9"/>
  <c r="E10"/>
  <c r="F10"/>
  <c r="E11"/>
  <c r="F11"/>
  <c r="C12"/>
  <c r="E13"/>
  <c r="F13"/>
  <c r="C14"/>
  <c r="C4" s="1"/>
  <c r="D14"/>
  <c r="E15"/>
  <c r="F15"/>
  <c r="E16"/>
  <c r="F16"/>
  <c r="C17"/>
  <c r="D17"/>
  <c r="E18"/>
  <c r="F18"/>
  <c r="E19"/>
  <c r="F19"/>
  <c r="C20"/>
  <c r="E20" s="1"/>
  <c r="D20"/>
  <c r="E21"/>
  <c r="F21"/>
  <c r="E22"/>
  <c r="F22"/>
  <c r="E23"/>
  <c r="F23"/>
  <c r="E24"/>
  <c r="F24"/>
  <c r="E26"/>
  <c r="E27"/>
  <c r="F27"/>
  <c r="E28"/>
  <c r="F28"/>
  <c r="E29"/>
  <c r="F29"/>
  <c r="C30"/>
  <c r="D30"/>
  <c r="E31"/>
  <c r="F31"/>
  <c r="D32"/>
  <c r="E32" s="1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C67"/>
  <c r="EB16" i="2" s="1"/>
  <c r="E68" i="6"/>
  <c r="F68"/>
  <c r="E69"/>
  <c r="F69"/>
  <c r="E70"/>
  <c r="F70"/>
  <c r="E71"/>
  <c r="F71"/>
  <c r="D72"/>
  <c r="E73"/>
  <c r="F73"/>
  <c r="E74"/>
  <c r="F74"/>
  <c r="E76"/>
  <c r="F76"/>
  <c r="C79"/>
  <c r="D79"/>
  <c r="E80"/>
  <c r="F80"/>
  <c r="E81"/>
  <c r="F81"/>
  <c r="E82"/>
  <c r="F82"/>
  <c r="C83"/>
  <c r="EK16" i="2" s="1"/>
  <c r="D83" i="6"/>
  <c r="E84"/>
  <c r="F84"/>
  <c r="C85"/>
  <c r="EN16" i="2" s="1"/>
  <c r="D85" i="6"/>
  <c r="E86"/>
  <c r="F86"/>
  <c r="E87"/>
  <c r="F87"/>
  <c r="E88"/>
  <c r="F88"/>
  <c r="F89"/>
  <c r="C90"/>
  <c r="EQ16" i="2" s="1"/>
  <c r="D90" i="6"/>
  <c r="ER16" i="2" s="1"/>
  <c r="E91" i="6"/>
  <c r="F91"/>
  <c r="E92"/>
  <c r="F92"/>
  <c r="E93"/>
  <c r="E94"/>
  <c r="E95"/>
  <c r="C96"/>
  <c r="D96"/>
  <c r="EU16" i="2" s="1"/>
  <c r="E97" i="6"/>
  <c r="F97"/>
  <c r="E98"/>
  <c r="F98"/>
  <c r="E99"/>
  <c r="F99"/>
  <c r="D5" i="5"/>
  <c r="E6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0" s="1"/>
  <c r="F31"/>
  <c r="C32"/>
  <c r="BE15" i="2" s="1"/>
  <c r="E33" i="5"/>
  <c r="E34"/>
  <c r="F34"/>
  <c r="C35"/>
  <c r="BK15" i="2" s="1"/>
  <c r="BK31" s="1"/>
  <c r="D35" i="5"/>
  <c r="BL15" i="2" s="1"/>
  <c r="BL31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E68"/>
  <c r="F68"/>
  <c r="E69"/>
  <c r="F69"/>
  <c r="E70"/>
  <c r="F70"/>
  <c r="E71"/>
  <c r="F71"/>
  <c r="D72"/>
  <c r="E73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86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4" s="1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C25" s="1"/>
  <c r="E27"/>
  <c r="F27"/>
  <c r="E28"/>
  <c r="F28"/>
  <c r="C29"/>
  <c r="AY14" i="2" s="1"/>
  <c r="D29" i="4"/>
  <c r="E30"/>
  <c r="F30"/>
  <c r="D31"/>
  <c r="F31" s="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F60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2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H9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1"/>
  <c r="F16" i="1" s="1"/>
  <c r="C16" s="1"/>
  <c r="E42" i="3"/>
  <c r="F42"/>
  <c r="C43"/>
  <c r="F17" i="1" s="1"/>
  <c r="D43" i="3"/>
  <c r="G17" i="1" s="1"/>
  <c r="E44" i="3"/>
  <c r="F44"/>
  <c r="F45"/>
  <c r="C46"/>
  <c r="F18" i="1" s="1"/>
  <c r="D49" i="3"/>
  <c r="E47"/>
  <c r="F47"/>
  <c r="E48"/>
  <c r="F48"/>
  <c r="C49"/>
  <c r="E50"/>
  <c r="F50"/>
  <c r="E52"/>
  <c r="F52"/>
  <c r="E53"/>
  <c r="F53"/>
  <c r="F54"/>
  <c r="E55"/>
  <c r="F55"/>
  <c r="F56"/>
  <c r="E57"/>
  <c r="F57"/>
  <c r="E58"/>
  <c r="F58"/>
  <c r="F59"/>
  <c r="E60"/>
  <c r="F60"/>
  <c r="F61"/>
  <c r="E62"/>
  <c r="F62"/>
  <c r="E63"/>
  <c r="F63"/>
  <c r="E64"/>
  <c r="F64"/>
  <c r="E65"/>
  <c r="F65"/>
  <c r="E67"/>
  <c r="F67"/>
  <c r="C68"/>
  <c r="E68" s="1"/>
  <c r="F69"/>
  <c r="F70"/>
  <c r="F73"/>
  <c r="F74"/>
  <c r="E75"/>
  <c r="F75"/>
  <c r="E76"/>
  <c r="F76"/>
  <c r="E77"/>
  <c r="F77"/>
  <c r="E78"/>
  <c r="F78"/>
  <c r="F79"/>
  <c r="E80"/>
  <c r="F80"/>
  <c r="F81"/>
  <c r="E88"/>
  <c r="F88"/>
  <c r="E89"/>
  <c r="F89"/>
  <c r="F90"/>
  <c r="E91"/>
  <c r="F91"/>
  <c r="F92"/>
  <c r="E93"/>
  <c r="F93"/>
  <c r="E94"/>
  <c r="F94"/>
  <c r="C95"/>
  <c r="E95" s="1"/>
  <c r="E96"/>
  <c r="F96"/>
  <c r="E98"/>
  <c r="F98"/>
  <c r="E99"/>
  <c r="F99"/>
  <c r="E100"/>
  <c r="F100"/>
  <c r="F101"/>
  <c r="E104"/>
  <c r="F104"/>
  <c r="E105"/>
  <c r="F105"/>
  <c r="E106"/>
  <c r="F106"/>
  <c r="E107"/>
  <c r="F107"/>
  <c r="E109"/>
  <c r="F109"/>
  <c r="F110"/>
  <c r="F111"/>
  <c r="C112"/>
  <c r="E113"/>
  <c r="F113"/>
  <c r="E115"/>
  <c r="F115"/>
  <c r="E116"/>
  <c r="F116"/>
  <c r="E118"/>
  <c r="F118"/>
  <c r="E119"/>
  <c r="F119"/>
  <c r="E121"/>
  <c r="F121"/>
  <c r="E122"/>
  <c r="F122"/>
  <c r="E124"/>
  <c r="F124"/>
  <c r="E125"/>
  <c r="F125"/>
  <c r="E126"/>
  <c r="F126"/>
  <c r="E127"/>
  <c r="F127"/>
  <c r="E129"/>
  <c r="F129"/>
  <c r="E130"/>
  <c r="F130"/>
  <c r="E132"/>
  <c r="E133"/>
  <c r="C134"/>
  <c r="F39" i="1" s="1"/>
  <c r="C39" s="1"/>
  <c r="D134" i="3"/>
  <c r="E135"/>
  <c r="F135"/>
  <c r="C136"/>
  <c r="F40" i="1" s="1"/>
  <c r="C40" s="1"/>
  <c r="D136" i="3"/>
  <c r="G40" i="1" s="1"/>
  <c r="D40" s="1"/>
  <c r="F137" i="3"/>
  <c r="E139"/>
  <c r="F139"/>
  <c r="E140"/>
  <c r="F140"/>
  <c r="E141"/>
  <c r="F141"/>
  <c r="L14" i="2"/>
  <c r="M14"/>
  <c r="O14"/>
  <c r="P14"/>
  <c r="R14"/>
  <c r="S14"/>
  <c r="U14"/>
  <c r="V14"/>
  <c r="X14"/>
  <c r="Z14" s="1"/>
  <c r="AA14"/>
  <c r="AB14"/>
  <c r="AD14"/>
  <c r="AG14"/>
  <c r="AH14"/>
  <c r="AL14"/>
  <c r="AO14"/>
  <c r="AT14"/>
  <c r="AU14" s="1"/>
  <c r="AX14"/>
  <c r="BB14"/>
  <c r="BC14"/>
  <c r="BJ14"/>
  <c r="BP14"/>
  <c r="BV14"/>
  <c r="BV31" s="1"/>
  <c r="BV35" s="1"/>
  <c r="BY14"/>
  <c r="BY31" s="1"/>
  <c r="CC14"/>
  <c r="CE14" s="1"/>
  <c r="CD14"/>
  <c r="CF14"/>
  <c r="CG14"/>
  <c r="CJ14"/>
  <c r="CK14" s="1"/>
  <c r="CL14"/>
  <c r="CM14"/>
  <c r="CT14"/>
  <c r="CZ14"/>
  <c r="DM14"/>
  <c r="DS14"/>
  <c r="DT14"/>
  <c r="DV14"/>
  <c r="DX14" s="1"/>
  <c r="DW14"/>
  <c r="DY14"/>
  <c r="DZ14"/>
  <c r="EF14"/>
  <c r="EH14"/>
  <c r="EN14"/>
  <c r="EO14"/>
  <c r="ET14"/>
  <c r="I15"/>
  <c r="L15"/>
  <c r="M15"/>
  <c r="O15"/>
  <c r="P15"/>
  <c r="R15"/>
  <c r="S15"/>
  <c r="U15"/>
  <c r="W15" s="1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EV15" s="1"/>
  <c r="I16"/>
  <c r="L16"/>
  <c r="M16"/>
  <c r="O16"/>
  <c r="P16"/>
  <c r="R16"/>
  <c r="S16"/>
  <c r="U16"/>
  <c r="W16" s="1"/>
  <c r="V16"/>
  <c r="X16"/>
  <c r="AA16"/>
  <c r="AB16"/>
  <c r="AC16" s="1"/>
  <c r="AD16"/>
  <c r="AE16"/>
  <c r="AG16"/>
  <c r="AH16"/>
  <c r="AI16" s="1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BZ16" s="1"/>
  <c r="CM16"/>
  <c r="CT16"/>
  <c r="CZ16"/>
  <c r="DM16"/>
  <c r="DP16"/>
  <c r="DR16" s="1"/>
  <c r="DS16"/>
  <c r="DU16" s="1"/>
  <c r="DT16"/>
  <c r="DW16"/>
  <c r="DY16"/>
  <c r="DZ16"/>
  <c r="EO16"/>
  <c r="I17"/>
  <c r="K17" s="1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U17" s="1"/>
  <c r="AX17"/>
  <c r="BA17"/>
  <c r="BE17"/>
  <c r="BF17"/>
  <c r="BJ17"/>
  <c r="BR17"/>
  <c r="BV17"/>
  <c r="BY17"/>
  <c r="CC17"/>
  <c r="CD17"/>
  <c r="CF17"/>
  <c r="CG17"/>
  <c r="CJ17"/>
  <c r="CL17"/>
  <c r="CM17"/>
  <c r="CT17"/>
  <c r="CZ17"/>
  <c r="DM17"/>
  <c r="DS17"/>
  <c r="DT17"/>
  <c r="DV17"/>
  <c r="DW17"/>
  <c r="DY17"/>
  <c r="DZ17"/>
  <c r="EI17"/>
  <c r="EL17"/>
  <c r="I18"/>
  <c r="K18" s="1"/>
  <c r="L18"/>
  <c r="M18"/>
  <c r="O18"/>
  <c r="P18"/>
  <c r="R18"/>
  <c r="S18"/>
  <c r="U18"/>
  <c r="V18"/>
  <c r="X18"/>
  <c r="AA18"/>
  <c r="AB18"/>
  <c r="AD18"/>
  <c r="AE18"/>
  <c r="AG18"/>
  <c r="AH18"/>
  <c r="AJ18"/>
  <c r="AK18"/>
  <c r="AN18"/>
  <c r="AO18" s="1"/>
  <c r="AX18"/>
  <c r="BE18"/>
  <c r="BR18"/>
  <c r="BV18"/>
  <c r="BY18"/>
  <c r="CC18"/>
  <c r="CD18"/>
  <c r="CF18"/>
  <c r="CG18"/>
  <c r="CJ18"/>
  <c r="CM18"/>
  <c r="CN18" s="1"/>
  <c r="CO18"/>
  <c r="CP18"/>
  <c r="CT18"/>
  <c r="CZ18"/>
  <c r="DM18"/>
  <c r="DP18"/>
  <c r="DS18"/>
  <c r="DT18"/>
  <c r="DV18"/>
  <c r="DW18"/>
  <c r="EB18"/>
  <c r="I19"/>
  <c r="K19" s="1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Q19"/>
  <c r="BV19"/>
  <c r="BY19"/>
  <c r="CD19"/>
  <c r="CF19"/>
  <c r="CG19"/>
  <c r="CJ19"/>
  <c r="CK19" s="1"/>
  <c r="CL19"/>
  <c r="CM19"/>
  <c r="CP19"/>
  <c r="CQ19" s="1"/>
  <c r="CZ19"/>
  <c r="DM19"/>
  <c r="DO19" s="1"/>
  <c r="DP19"/>
  <c r="DQ19"/>
  <c r="DS19"/>
  <c r="DT19"/>
  <c r="DV19"/>
  <c r="DW19"/>
  <c r="DY19"/>
  <c r="DZ19"/>
  <c r="ER19"/>
  <c r="I20"/>
  <c r="L20"/>
  <c r="M20"/>
  <c r="O20"/>
  <c r="P20"/>
  <c r="R20"/>
  <c r="S20"/>
  <c r="U20"/>
  <c r="V20"/>
  <c r="X20"/>
  <c r="AA20"/>
  <c r="AB20"/>
  <c r="AD20"/>
  <c r="AF20" s="1"/>
  <c r="AE20"/>
  <c r="AG20"/>
  <c r="AH20"/>
  <c r="AL20"/>
  <c r="AO20"/>
  <c r="AT20"/>
  <c r="AX20"/>
  <c r="BE20"/>
  <c r="BF20"/>
  <c r="BJ20"/>
  <c r="BQ20"/>
  <c r="BV20"/>
  <c r="BY20"/>
  <c r="CD20"/>
  <c r="CF20"/>
  <c r="CG20"/>
  <c r="CJ20"/>
  <c r="CL20"/>
  <c r="CM20"/>
  <c r="CP20"/>
  <c r="CQ20" s="1"/>
  <c r="CR20"/>
  <c r="CS20"/>
  <c r="CZ20"/>
  <c r="DM20"/>
  <c r="DO20" s="1"/>
  <c r="DP20"/>
  <c r="DS20"/>
  <c r="DT20"/>
  <c r="DV20"/>
  <c r="DW20"/>
  <c r="DY20"/>
  <c r="DZ20"/>
  <c r="EB20"/>
  <c r="ER20"/>
  <c r="ET20"/>
  <c r="I21"/>
  <c r="M21"/>
  <c r="P21"/>
  <c r="S21"/>
  <c r="V21"/>
  <c r="AB21"/>
  <c r="AE21"/>
  <c r="AH21"/>
  <c r="AT21"/>
  <c r="AU21" s="1"/>
  <c r="L21"/>
  <c r="O21"/>
  <c r="R21"/>
  <c r="U21"/>
  <c r="X21"/>
  <c r="AA21"/>
  <c r="AD21"/>
  <c r="AF21" s="1"/>
  <c r="AG21"/>
  <c r="AJ21"/>
  <c r="AO21"/>
  <c r="AX21"/>
  <c r="BE21"/>
  <c r="BF21"/>
  <c r="BJ21"/>
  <c r="BP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EA21" s="1"/>
  <c r="EF21"/>
  <c r="EH21"/>
  <c r="ER21"/>
  <c r="EU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Q22"/>
  <c r="BV22"/>
  <c r="BY22"/>
  <c r="CC22"/>
  <c r="CD22"/>
  <c r="CM22"/>
  <c r="CF22"/>
  <c r="CG22"/>
  <c r="CJ22"/>
  <c r="CK22" s="1"/>
  <c r="CL22"/>
  <c r="CT22"/>
  <c r="CZ22"/>
  <c r="DP22"/>
  <c r="DR22" s="1"/>
  <c r="DS22"/>
  <c r="DT22"/>
  <c r="DV22"/>
  <c r="DW22"/>
  <c r="DY22"/>
  <c r="EI22"/>
  <c r="EJ22" s="1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I23" s="1"/>
  <c r="AL23"/>
  <c r="AO23"/>
  <c r="AT23"/>
  <c r="AX23"/>
  <c r="BE23"/>
  <c r="BF23"/>
  <c r="BJ23"/>
  <c r="BQ23"/>
  <c r="BV23"/>
  <c r="BY23"/>
  <c r="CC23"/>
  <c r="CL23"/>
  <c r="BZ23" s="1"/>
  <c r="CT23"/>
  <c r="CZ23"/>
  <c r="DM23"/>
  <c r="DP23"/>
  <c r="DQ23"/>
  <c r="DS23"/>
  <c r="DT23"/>
  <c r="DV23"/>
  <c r="DW23"/>
  <c r="DY23"/>
  <c r="DZ23"/>
  <c r="EC23"/>
  <c r="ED23" s="1"/>
  <c r="EF23"/>
  <c r="ER23"/>
  <c r="ET23"/>
  <c r="M24"/>
  <c r="P24"/>
  <c r="S24"/>
  <c r="V24"/>
  <c r="AB24"/>
  <c r="AE24"/>
  <c r="AH24"/>
  <c r="AI24" s="1"/>
  <c r="CD24"/>
  <c r="CJ24"/>
  <c r="CM24"/>
  <c r="L24"/>
  <c r="N24" s="1"/>
  <c r="O24"/>
  <c r="R24"/>
  <c r="U24"/>
  <c r="X24"/>
  <c r="AG24"/>
  <c r="AJ24"/>
  <c r="AO24"/>
  <c r="AT24"/>
  <c r="AX24"/>
  <c r="BE24"/>
  <c r="BF24"/>
  <c r="BJ24"/>
  <c r="BQ24"/>
  <c r="BS24" s="1"/>
  <c r="BV24"/>
  <c r="BY24"/>
  <c r="CC24"/>
  <c r="BZ24" s="1"/>
  <c r="CF24"/>
  <c r="CG24"/>
  <c r="CL24"/>
  <c r="CT24"/>
  <c r="CZ24"/>
  <c r="DM24"/>
  <c r="DP24"/>
  <c r="DS24"/>
  <c r="DT24"/>
  <c r="DV24"/>
  <c r="DW24"/>
  <c r="DY24"/>
  <c r="DZ24"/>
  <c r="EK24"/>
  <c r="EN24"/>
  <c r="EO24"/>
  <c r="EU24"/>
  <c r="M25"/>
  <c r="S25"/>
  <c r="V25"/>
  <c r="AB25"/>
  <c r="AE25"/>
  <c r="AH25"/>
  <c r="AO25"/>
  <c r="AT25"/>
  <c r="AU25" s="1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T25"/>
  <c r="CZ25"/>
  <c r="DM25"/>
  <c r="DP25"/>
  <c r="DQ25"/>
  <c r="DS25"/>
  <c r="DT25"/>
  <c r="DV25"/>
  <c r="DW25"/>
  <c r="DY25"/>
  <c r="DZ25"/>
  <c r="EA25" s="1"/>
  <c r="EF25"/>
  <c r="EI25"/>
  <c r="EK25"/>
  <c r="EL25"/>
  <c r="M26"/>
  <c r="P26"/>
  <c r="S26"/>
  <c r="V26"/>
  <c r="AB26"/>
  <c r="AE26"/>
  <c r="AH26"/>
  <c r="AT26"/>
  <c r="CD26"/>
  <c r="CM26"/>
  <c r="I26"/>
  <c r="K26" s="1"/>
  <c r="L26"/>
  <c r="O26"/>
  <c r="R26"/>
  <c r="U26"/>
  <c r="X26"/>
  <c r="AA26"/>
  <c r="AD26"/>
  <c r="AG26"/>
  <c r="AL26"/>
  <c r="AX26"/>
  <c r="BE26"/>
  <c r="BF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EH26"/>
  <c r="EL26"/>
  <c r="EN26"/>
  <c r="EO26"/>
  <c r="ET26"/>
  <c r="M27"/>
  <c r="P27"/>
  <c r="S27"/>
  <c r="V27"/>
  <c r="AB27"/>
  <c r="AE27"/>
  <c r="AH27"/>
  <c r="AT27"/>
  <c r="CD27"/>
  <c r="CM27"/>
  <c r="I27"/>
  <c r="K27" s="1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EH27"/>
  <c r="EO27"/>
  <c r="EQ27"/>
  <c r="ER27"/>
  <c r="M28"/>
  <c r="P28"/>
  <c r="S28"/>
  <c r="V28"/>
  <c r="AB28"/>
  <c r="AE28"/>
  <c r="AH28"/>
  <c r="CD28"/>
  <c r="CM28"/>
  <c r="I28"/>
  <c r="L28"/>
  <c r="O28"/>
  <c r="R28"/>
  <c r="U28"/>
  <c r="X28"/>
  <c r="Z28" s="1"/>
  <c r="AA28"/>
  <c r="AD28"/>
  <c r="AG28"/>
  <c r="AL28"/>
  <c r="AO28"/>
  <c r="AX28"/>
  <c r="BG28"/>
  <c r="BJ28"/>
  <c r="BQ28"/>
  <c r="BV28"/>
  <c r="BY28"/>
  <c r="CC28"/>
  <c r="CF28"/>
  <c r="CG28"/>
  <c r="CJ28"/>
  <c r="CK28" s="1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W29" s="1"/>
  <c r="X29"/>
  <c r="AA29"/>
  <c r="AD29"/>
  <c r="AG29"/>
  <c r="AL29"/>
  <c r="AX29"/>
  <c r="BA29"/>
  <c r="BE29"/>
  <c r="BJ29"/>
  <c r="BP29"/>
  <c r="BR29"/>
  <c r="BV29"/>
  <c r="BY29"/>
  <c r="CC29"/>
  <c r="CF29"/>
  <c r="CG29"/>
  <c r="CL29"/>
  <c r="CT29"/>
  <c r="CZ29"/>
  <c r="DM29"/>
  <c r="DO29" s="1"/>
  <c r="DP29"/>
  <c r="DR29" s="1"/>
  <c r="DS29"/>
  <c r="DT29"/>
  <c r="DV29"/>
  <c r="DW29"/>
  <c r="EC29"/>
  <c r="EK29"/>
  <c r="EU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G5" i="1"/>
  <c r="G11"/>
  <c r="D11" s="1"/>
  <c r="G19"/>
  <c r="D19" s="1"/>
  <c r="C22"/>
  <c r="D22"/>
  <c r="E24"/>
  <c r="F24"/>
  <c r="F26"/>
  <c r="C26" s="1"/>
  <c r="G26"/>
  <c r="D26" s="1"/>
  <c r="G30"/>
  <c r="G31"/>
  <c r="E32"/>
  <c r="E33"/>
  <c r="G33"/>
  <c r="E36"/>
  <c r="G36"/>
  <c r="G41"/>
  <c r="F5" i="16"/>
  <c r="E17" i="13"/>
  <c r="AO22" i="2"/>
  <c r="F14" i="11"/>
  <c r="E7"/>
  <c r="F40" i="9"/>
  <c r="F14"/>
  <c r="F26" i="5"/>
  <c r="E34" i="19"/>
  <c r="AO29" i="2"/>
  <c r="AO27"/>
  <c r="AO26"/>
  <c r="E17" i="16"/>
  <c r="E14" i="12"/>
  <c r="F34" i="8"/>
  <c r="E56" i="15"/>
  <c r="F56"/>
  <c r="E69" i="13"/>
  <c r="E54"/>
  <c r="F54"/>
  <c r="E89" i="9"/>
  <c r="F57" i="5"/>
  <c r="E37"/>
  <c r="AU29" i="2"/>
  <c r="BC31"/>
  <c r="BC35" s="1"/>
  <c r="E31" i="17"/>
  <c r="ER26" i="2"/>
  <c r="E37" i="6"/>
  <c r="F38"/>
  <c r="BS14" i="2"/>
  <c r="F5" i="17"/>
  <c r="E12" i="16"/>
  <c r="F17" i="4"/>
  <c r="DX19" i="2"/>
  <c r="F7" i="19"/>
  <c r="F5" i="12"/>
  <c r="F37" i="11"/>
  <c r="E17" i="14"/>
  <c r="E5"/>
  <c r="BO16" i="2"/>
  <c r="BP16" s="1"/>
  <c r="E35" i="6"/>
  <c r="Q22" i="2"/>
  <c r="E7" i="12"/>
  <c r="E29" i="1"/>
  <c r="F34"/>
  <c r="C34" s="1"/>
  <c r="F68" i="3"/>
  <c r="F17" i="14"/>
  <c r="E37" i="11"/>
  <c r="E34" i="7"/>
  <c r="BN15" i="2"/>
  <c r="F35" i="5"/>
  <c r="E82" i="14"/>
  <c r="E81" i="16"/>
  <c r="BO22" i="2"/>
  <c r="BP22" s="1"/>
  <c r="BN28"/>
  <c r="CH27"/>
  <c r="AC24"/>
  <c r="G37" i="1"/>
  <c r="E23" i="3"/>
  <c r="G12" i="1"/>
  <c r="AS19" i="2"/>
  <c r="AU19" s="1"/>
  <c r="AZ25"/>
  <c r="F29" i="15"/>
  <c r="E37" i="16"/>
  <c r="C36"/>
  <c r="BQ26" i="2" s="1"/>
  <c r="E26" i="19"/>
  <c r="G6" i="1"/>
  <c r="F33"/>
  <c r="E72" i="11"/>
  <c r="E58" i="12"/>
  <c r="F58"/>
  <c r="C56"/>
  <c r="DM22" i="2"/>
  <c r="DO22" s="1"/>
  <c r="F77" i="14"/>
  <c r="C76"/>
  <c r="EH24" i="2" s="1"/>
  <c r="EJ24" s="1"/>
  <c r="E77" i="14"/>
  <c r="F79" i="15"/>
  <c r="C76"/>
  <c r="EH25" i="2" s="1"/>
  <c r="E79" i="15"/>
  <c r="F74" i="18"/>
  <c r="E74"/>
  <c r="C68" i="19"/>
  <c r="F71"/>
  <c r="E71"/>
  <c r="F37" i="16"/>
  <c r="F26" i="19"/>
  <c r="BC33" i="2"/>
  <c r="F112" i="3"/>
  <c r="EO15" i="2"/>
  <c r="EP15" s="1"/>
  <c r="F85" i="5"/>
  <c r="E67"/>
  <c r="EB15" i="2"/>
  <c r="F67" i="5"/>
  <c r="E20"/>
  <c r="F20"/>
  <c r="F20" i="6"/>
  <c r="ER18" i="2"/>
  <c r="E20" i="9"/>
  <c r="F20" i="10"/>
  <c r="F103" i="3"/>
  <c r="G32" i="1"/>
  <c r="E94" i="8"/>
  <c r="EU18" i="2"/>
  <c r="EV18" s="1"/>
  <c r="F40" i="11"/>
  <c r="E40" i="8"/>
  <c r="EQ14" i="2"/>
  <c r="ES14" s="1"/>
  <c r="E83" i="4"/>
  <c r="E128" i="3"/>
  <c r="D9" i="1"/>
  <c r="BR22" i="2"/>
  <c r="E41" i="15"/>
  <c r="E55" i="16"/>
  <c r="E66" i="8"/>
  <c r="E87" i="14"/>
  <c r="F76" i="10"/>
  <c r="AC18" i="2"/>
  <c r="E20" i="4"/>
  <c r="F20"/>
  <c r="F85" i="6"/>
  <c r="E41"/>
  <c r="F37"/>
  <c r="ET17" i="2"/>
  <c r="E86" i="7"/>
  <c r="EQ17" i="2"/>
  <c r="EB24"/>
  <c r="E66" i="14"/>
  <c r="F37"/>
  <c r="F35" s="1"/>
  <c r="F34" s="1"/>
  <c r="E37"/>
  <c r="E35" s="1"/>
  <c r="E34" s="1"/>
  <c r="E26"/>
  <c r="F26"/>
  <c r="EI16" i="2"/>
  <c r="F79" i="6"/>
  <c r="BQ27" i="2"/>
  <c r="BS27" s="1"/>
  <c r="F89" i="4"/>
  <c r="EF16" i="2"/>
  <c r="E5" i="8"/>
  <c r="E93" i="11"/>
  <c r="F93"/>
  <c r="F94" i="17"/>
  <c r="ET27" i="2"/>
  <c r="EV27" s="1"/>
  <c r="EL16"/>
  <c r="F67" i="6"/>
  <c r="F84" i="9"/>
  <c r="F91" i="13"/>
  <c r="E77" i="17"/>
  <c r="F77"/>
  <c r="DO23" i="2"/>
  <c r="BO15"/>
  <c r="E35" i="5"/>
  <c r="E90" i="6"/>
  <c r="F36" i="9"/>
  <c r="F82" i="11"/>
  <c r="E74" i="9"/>
  <c r="E87" i="11"/>
  <c r="F74"/>
  <c r="E86" i="16"/>
  <c r="F31"/>
  <c r="E90" i="19"/>
  <c r="F29"/>
  <c r="E29"/>
  <c r="E7" i="10"/>
  <c r="F72" i="3"/>
  <c r="E72"/>
  <c r="E26" i="16"/>
  <c r="E76" i="12"/>
  <c r="F73" i="17"/>
  <c r="C72"/>
  <c r="EE27" i="2" s="1"/>
  <c r="E73" i="17"/>
  <c r="E12" i="10"/>
  <c r="F85" i="13"/>
  <c r="F92" i="16"/>
  <c r="E94" i="17"/>
  <c r="E34"/>
  <c r="E84" i="18"/>
  <c r="F32"/>
  <c r="F77" i="12"/>
  <c r="F34" i="4"/>
  <c r="F80" i="14"/>
  <c r="EE18" i="2"/>
  <c r="EH18"/>
  <c r="E79" i="8"/>
  <c r="F56"/>
  <c r="F79"/>
  <c r="E73"/>
  <c r="BP18" i="2"/>
  <c r="D95" i="13"/>
  <c r="DZ18" i="2"/>
  <c r="E12" i="19"/>
  <c r="E123" i="3"/>
  <c r="N22" i="2"/>
  <c r="CH19"/>
  <c r="AI17"/>
  <c r="CC20"/>
  <c r="CE15"/>
  <c r="DK19"/>
  <c r="AF15"/>
  <c r="DR15"/>
  <c r="E37" i="1"/>
  <c r="E38"/>
  <c r="E31"/>
  <c r="F7" i="3"/>
  <c r="CN15" i="2"/>
  <c r="F5" i="4"/>
  <c r="CE25" i="2"/>
  <c r="CH25"/>
  <c r="EA23"/>
  <c r="F62" i="13"/>
  <c r="E77" i="12"/>
  <c r="C71"/>
  <c r="CH22" i="2"/>
  <c r="E66" i="10"/>
  <c r="Q19" i="2"/>
  <c r="AC29"/>
  <c r="Z25"/>
  <c r="W21"/>
  <c r="CK23"/>
  <c r="AF28"/>
  <c r="ES16"/>
  <c r="C4" i="5"/>
  <c r="C25"/>
  <c r="EF15" i="2"/>
  <c r="F34" i="16"/>
  <c r="C38" i="19"/>
  <c r="F39"/>
  <c r="DU29" i="2"/>
  <c r="DK29"/>
  <c r="CK27"/>
  <c r="DO15"/>
  <c r="DO18"/>
  <c r="Z20"/>
  <c r="DJ20"/>
  <c r="CT20"/>
  <c r="DU15"/>
  <c r="AI27"/>
  <c r="W26"/>
  <c r="DK24"/>
  <c r="AF14"/>
  <c r="E32" i="5"/>
  <c r="AI29" i="2" l="1"/>
  <c r="O31"/>
  <c r="O35" s="1"/>
  <c r="DX27"/>
  <c r="BG19"/>
  <c r="BZ18"/>
  <c r="CE18"/>
  <c r="AI18"/>
  <c r="W18"/>
  <c r="T18"/>
  <c r="AJ31"/>
  <c r="AJ35" s="1"/>
  <c r="N21"/>
  <c r="DJ16"/>
  <c r="ES20"/>
  <c r="BA27"/>
  <c r="BO26"/>
  <c r="BP26" s="1"/>
  <c r="E64" i="13"/>
  <c r="F80" i="8"/>
  <c r="ED15" i="2"/>
  <c r="F93" i="15"/>
  <c r="E14" i="8"/>
  <c r="E12" i="12"/>
  <c r="E26" i="13"/>
  <c r="F41" i="1"/>
  <c r="K21" i="2"/>
  <c r="E26" i="17"/>
  <c r="CN23" i="2"/>
  <c r="F71" i="12"/>
  <c r="EJ18" i="2"/>
  <c r="E29" i="12"/>
  <c r="E29" i="16"/>
  <c r="E64" i="9"/>
  <c r="E88" i="8"/>
  <c r="E20" i="15"/>
  <c r="F31" i="17"/>
  <c r="F83" i="10"/>
  <c r="EB25" i="2"/>
  <c r="K25"/>
  <c r="AU22"/>
  <c r="E12" i="4"/>
  <c r="E12" i="6"/>
  <c r="E96" i="12"/>
  <c r="AZ22" i="2"/>
  <c r="F23"/>
  <c r="C4" i="16"/>
  <c r="C100" i="5"/>
  <c r="F81" i="12"/>
  <c r="EA18" i="2"/>
  <c r="F96" i="12"/>
  <c r="F31" i="15"/>
  <c r="E87"/>
  <c r="ES18" i="2"/>
  <c r="F66" i="10"/>
  <c r="E26" i="12"/>
  <c r="W27" i="2"/>
  <c r="N26"/>
  <c r="DX25"/>
  <c r="F92" i="7"/>
  <c r="E65"/>
  <c r="F17"/>
  <c r="E84" i="9"/>
  <c r="F26"/>
  <c r="E29" i="10"/>
  <c r="E20"/>
  <c r="E14"/>
  <c r="F64" i="14"/>
  <c r="E17" i="17"/>
  <c r="D4" i="19"/>
  <c r="E7" i="8"/>
  <c r="H26" i="1"/>
  <c r="DD33" i="2"/>
  <c r="CU33"/>
  <c r="Q29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79" i="6"/>
  <c r="C25"/>
  <c r="C40" s="1"/>
  <c r="C52" s="1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C37" s="1"/>
  <c r="C52" s="1"/>
  <c r="E5"/>
  <c r="E20" i="18"/>
  <c r="E5" i="19"/>
  <c r="C4" i="14"/>
  <c r="F12" i="3"/>
  <c r="F31" i="13"/>
  <c r="E71" i="9"/>
  <c r="DK17" i="2"/>
  <c r="G21"/>
  <c r="F7" i="13"/>
  <c r="E64" i="10"/>
  <c r="BG15" i="2"/>
  <c r="F36" i="16"/>
  <c r="K16" i="2"/>
  <c r="BG22"/>
  <c r="AR21"/>
  <c r="E34" i="8"/>
  <c r="E26" i="7"/>
  <c r="F65" i="16"/>
  <c r="BZ26" i="2"/>
  <c r="ES24"/>
  <c r="E41" i="18"/>
  <c r="CT28" i="2"/>
  <c r="D25" i="6"/>
  <c r="E25" s="1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2" i="3"/>
  <c r="E7" i="9"/>
  <c r="F26" i="17"/>
  <c r="Z24" i="2"/>
  <c r="Z16"/>
  <c r="F65" i="7"/>
  <c r="D4" i="5"/>
  <c r="E5" i="15"/>
  <c r="ED25" i="2"/>
  <c r="D25" i="19"/>
  <c r="D37" s="1"/>
  <c r="D48" s="1"/>
  <c r="BZ17" i="2"/>
  <c r="BZ21"/>
  <c r="ED18"/>
  <c r="F24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BN31" i="2"/>
  <c r="I20" i="1" s="1"/>
  <c r="C20" s="1"/>
  <c r="W28" i="2"/>
  <c r="C89" i="18"/>
  <c r="EQ28" i="2" s="1"/>
  <c r="F5" i="18"/>
  <c r="F35"/>
  <c r="F26"/>
  <c r="E12"/>
  <c r="E68" i="19"/>
  <c r="BZ29" i="2"/>
  <c r="E37" i="18"/>
  <c r="E38" i="19"/>
  <c r="F17" i="17"/>
  <c r="DQ31" i="2"/>
  <c r="DQ33" s="1"/>
  <c r="D4" i="16"/>
  <c r="E4" s="1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3" i="3"/>
  <c r="E138"/>
  <c r="D25" i="16"/>
  <c r="BR26" i="2"/>
  <c r="BS26" s="1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V31"/>
  <c r="V35" s="1"/>
  <c r="F64" i="15"/>
  <c r="H24" i="1"/>
  <c r="E46" i="3"/>
  <c r="BY35" i="2"/>
  <c r="BY33"/>
  <c r="EM26"/>
  <c r="BI33"/>
  <c r="F76" i="15"/>
  <c r="Z21" i="2"/>
  <c r="D98" i="12"/>
  <c r="E76" i="8"/>
  <c r="AC15" i="2"/>
  <c r="EU14"/>
  <c r="EV14" s="1"/>
  <c r="ES17"/>
  <c r="E7" i="13"/>
  <c r="F34" i="9"/>
  <c r="E34" i="15"/>
  <c r="F95" i="18"/>
  <c r="DO17" i="2"/>
  <c r="F89" i="9"/>
  <c r="F43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6" i="3"/>
  <c r="F64" i="13"/>
  <c r="F71" i="8"/>
  <c r="C97"/>
  <c r="F97" s="1"/>
  <c r="D97" i="14"/>
  <c r="E78" i="13"/>
  <c r="E20" i="12"/>
  <c r="F82" i="15"/>
  <c r="E90" i="5"/>
  <c r="F17" i="15"/>
  <c r="EU17" i="2"/>
  <c r="EV17" s="1"/>
  <c r="E83" i="6"/>
  <c r="E16" i="3"/>
  <c r="F32" i="6"/>
  <c r="CK17" i="2"/>
  <c r="CY33"/>
  <c r="E17" i="6"/>
  <c r="EL15" i="2"/>
  <c r="EM15" s="1"/>
  <c r="F36" i="10"/>
  <c r="K29" i="2"/>
  <c r="F26" i="7"/>
  <c r="E7" i="16"/>
  <c r="E103" i="3"/>
  <c r="F26" i="15"/>
  <c r="E31" i="9"/>
  <c r="D4" i="15"/>
  <c r="E51" i="3"/>
  <c r="E108"/>
  <c r="AP29" i="2"/>
  <c r="AR29" s="1"/>
  <c r="E29" i="15"/>
  <c r="F23" i="3"/>
  <c r="F33"/>
  <c r="D25" i="9"/>
  <c r="F81" i="7"/>
  <c r="F34" i="15"/>
  <c r="E91" i="13"/>
  <c r="F17" i="18"/>
  <c r="DR14" i="2"/>
  <c r="F17" i="11"/>
  <c r="F83" i="6"/>
  <c r="F74" i="13"/>
  <c r="F79" i="16"/>
  <c r="F61" i="19"/>
  <c r="E14" i="18"/>
  <c r="F20" i="14"/>
  <c r="Q25" i="2"/>
  <c r="CK25"/>
  <c r="Z22"/>
  <c r="EK20"/>
  <c r="EM20" s="1"/>
  <c r="EH16"/>
  <c r="E56" i="9"/>
  <c r="F7"/>
  <c r="E64" i="15"/>
  <c r="EJ16" i="2"/>
  <c r="F78" i="13"/>
  <c r="EP21" i="2"/>
  <c r="E92" i="7"/>
  <c r="E5" i="6"/>
  <c r="D25" i="10"/>
  <c r="D39" s="1"/>
  <c r="D51" s="1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E25" s="1"/>
  <c r="F29" i="10"/>
  <c r="E83"/>
  <c r="F66" i="8"/>
  <c r="E82" i="5"/>
  <c r="ES25" i="2"/>
  <c r="C4" i="13"/>
  <c r="E4" s="1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BA22"/>
  <c r="E31" i="13"/>
  <c r="F12"/>
  <c r="E65" i="18"/>
  <c r="AR28" i="2"/>
  <c r="DR17"/>
  <c r="AI25"/>
  <c r="W24"/>
  <c r="F4" i="5"/>
  <c r="EE29" i="2"/>
  <c r="EG29" s="1"/>
  <c r="F28"/>
  <c r="CN29"/>
  <c r="AF16"/>
  <c r="F96" i="6"/>
  <c r="E7" i="3"/>
  <c r="N28" i="2"/>
  <c r="F128" i="3"/>
  <c r="D96" i="7"/>
  <c r="C93" i="4"/>
  <c r="AI28" i="2"/>
  <c r="CN21"/>
  <c r="K14"/>
  <c r="C24"/>
  <c r="EA28"/>
  <c r="D25" i="12"/>
  <c r="CK21" i="2"/>
  <c r="F57" i="6"/>
  <c r="F7"/>
  <c r="DM31" i="2"/>
  <c r="DM35" s="1"/>
  <c r="D93" i="4"/>
  <c r="E4"/>
  <c r="J31" i="2"/>
  <c r="J33" s="1"/>
  <c r="CE26"/>
  <c r="CA26"/>
  <c r="CA29"/>
  <c r="CB29" s="1"/>
  <c r="CA28"/>
  <c r="CA27"/>
  <c r="CO31"/>
  <c r="CO35" s="1"/>
  <c r="CA24"/>
  <c r="CB24" s="1"/>
  <c r="CA23"/>
  <c r="CB23" s="1"/>
  <c r="EP22"/>
  <c r="CF31"/>
  <c r="CF35" s="1"/>
  <c r="CA22"/>
  <c r="AD31"/>
  <c r="I10" i="1" s="1"/>
  <c r="C10" s="1"/>
  <c r="L31" i="2"/>
  <c r="L35" s="1"/>
  <c r="AC22"/>
  <c r="CA21"/>
  <c r="CA18"/>
  <c r="CB18" s="1"/>
  <c r="CA17"/>
  <c r="G16"/>
  <c r="BA19"/>
  <c r="CA25"/>
  <c r="CA20"/>
  <c r="CA19"/>
  <c r="CA16"/>
  <c r="CB16" s="1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CB19" i="2"/>
  <c r="DL19"/>
  <c r="F90" i="6"/>
  <c r="H36" i="1"/>
  <c r="CH18" i="2"/>
  <c r="F17" i="10"/>
  <c r="F56" i="12"/>
  <c r="F25" i="19"/>
  <c r="BT33" i="2"/>
  <c r="CH14"/>
  <c r="F12" i="14"/>
  <c r="F12" i="17"/>
  <c r="E5" i="18"/>
  <c r="E7" i="14"/>
  <c r="E7" i="15"/>
  <c r="T22" i="2"/>
  <c r="F5" i="8"/>
  <c r="E41" i="5"/>
  <c r="F95" i="3"/>
  <c r="F30" i="1"/>
  <c r="H30" s="1"/>
  <c r="BR15" i="2"/>
  <c r="BS15" s="1"/>
  <c r="F37" i="5"/>
  <c r="E81" i="7"/>
  <c r="EN17" i="2"/>
  <c r="EP17" s="1"/>
  <c r="F36" i="8"/>
  <c r="BQ18" i="2"/>
  <c r="BS18" s="1"/>
  <c r="E26" i="8"/>
  <c r="D25"/>
  <c r="E12" i="13"/>
  <c r="F93" i="4"/>
  <c r="AS31" i="2"/>
  <c r="AS35" s="1"/>
  <c r="DJ22"/>
  <c r="F4" i="4"/>
  <c r="CX33" i="2"/>
  <c r="F19"/>
  <c r="BS22"/>
  <c r="E26" i="4"/>
  <c r="F26"/>
  <c r="C4" i="15"/>
  <c r="E65" i="16"/>
  <c r="EB26" i="2"/>
  <c r="ED26" s="1"/>
  <c r="F7" i="17"/>
  <c r="E7"/>
  <c r="F97" i="3"/>
  <c r="F31" i="1"/>
  <c r="H31" s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F4" s="1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D25" i="11"/>
  <c r="CJ31" i="2"/>
  <c r="CJ35" s="1"/>
  <c r="EJ25"/>
  <c r="E40" i="7"/>
  <c r="DL15" i="2"/>
  <c r="F68" i="19"/>
  <c r="AL24" i="2"/>
  <c r="AG33"/>
  <c r="BZ20"/>
  <c r="CB20" s="1"/>
  <c r="E76" i="14"/>
  <c r="BP15" i="2"/>
  <c r="DA35"/>
  <c r="AV33"/>
  <c r="BW33"/>
  <c r="EP29"/>
  <c r="ES27"/>
  <c r="DK25"/>
  <c r="DH25" s="1"/>
  <c r="BG23"/>
  <c r="E36" i="9"/>
  <c r="F46" i="17"/>
  <c r="C25" i="16"/>
  <c r="F25" s="1"/>
  <c r="E36"/>
  <c r="F34" i="17"/>
  <c r="BN35" i="2"/>
  <c r="C98" i="12"/>
  <c r="DL24" i="2"/>
  <c r="E25" i="15"/>
  <c r="C23" i="2"/>
  <c r="E71" i="12"/>
  <c r="G22" i="2"/>
  <c r="AC26"/>
  <c r="DU24"/>
  <c r="CH24"/>
  <c r="AO19"/>
  <c r="N19"/>
  <c r="DU18"/>
  <c r="E85" i="6"/>
  <c r="F17" i="9"/>
  <c r="F81" i="10"/>
  <c r="E5"/>
  <c r="E85" i="13"/>
  <c r="F81" i="16"/>
  <c r="BL35" i="2"/>
  <c r="BL33"/>
  <c r="BP24"/>
  <c r="G24"/>
  <c r="H24" s="1"/>
  <c r="E93" i="4"/>
  <c r="C9" i="1"/>
  <c r="E9" s="1"/>
  <c r="AK31" i="2"/>
  <c r="AL31" s="1"/>
  <c r="BN33"/>
  <c r="EE22"/>
  <c r="EG22" s="1"/>
  <c r="E100" i="5"/>
  <c r="C37" i="4"/>
  <c r="E72" i="17"/>
  <c r="F4" i="13"/>
  <c r="AX31" i="2"/>
  <c r="BS29"/>
  <c r="BG29"/>
  <c r="EA26"/>
  <c r="DX26"/>
  <c r="DK26"/>
  <c r="DL26" s="1"/>
  <c r="AI26"/>
  <c r="DU23"/>
  <c r="Q21"/>
  <c r="AI21"/>
  <c r="Q18"/>
  <c r="DU17"/>
  <c r="X31"/>
  <c r="X33" s="1"/>
  <c r="R31"/>
  <c r="R35" s="1"/>
  <c r="EA16"/>
  <c r="CE16"/>
  <c r="Q16"/>
  <c r="DH15"/>
  <c r="E85" i="5"/>
  <c r="F15" i="2"/>
  <c r="F65" i="6"/>
  <c r="F35"/>
  <c r="E29" i="7"/>
  <c r="E17"/>
  <c r="F64" i="8"/>
  <c r="E31"/>
  <c r="F29" i="11"/>
  <c r="E83" i="12"/>
  <c r="EM24" i="2"/>
  <c r="D25" i="14"/>
  <c r="F84" i="18"/>
  <c r="F37"/>
  <c r="F20"/>
  <c r="D4"/>
  <c r="E60" i="4"/>
  <c r="F41" i="18"/>
  <c r="AC25" i="2"/>
  <c r="S31"/>
  <c r="S33" s="1"/>
  <c r="F87" i="15"/>
  <c r="H32" i="1"/>
  <c r="E136" i="3"/>
  <c r="H12" i="1"/>
  <c r="F25" i="15"/>
  <c r="G25" i="2"/>
  <c r="DH24"/>
  <c r="E80" i="14"/>
  <c r="G27" i="2"/>
  <c r="CG31"/>
  <c r="CG35" s="1"/>
  <c r="CM31"/>
  <c r="CM35" s="1"/>
  <c r="AB31"/>
  <c r="AB33" s="1"/>
  <c r="F70" i="7"/>
  <c r="I8" i="1"/>
  <c r="C8" s="1"/>
  <c r="AA33" i="2"/>
  <c r="O33"/>
  <c r="EK17"/>
  <c r="EM17" s="1"/>
  <c r="N17"/>
  <c r="H16"/>
  <c r="F26"/>
  <c r="DH29"/>
  <c r="ED22"/>
  <c r="C16"/>
  <c r="EM29"/>
  <c r="BZ14"/>
  <c r="CB14" s="1"/>
  <c r="F90" i="5"/>
  <c r="EP19" i="2"/>
  <c r="F20" i="12"/>
  <c r="F34" i="7"/>
  <c r="AG35" i="2"/>
  <c r="BS16"/>
  <c r="CC31"/>
  <c r="CC35" s="1"/>
  <c r="C19"/>
  <c r="H37" i="1"/>
  <c r="BV33" i="2"/>
  <c r="CZ31"/>
  <c r="CZ33" s="1"/>
  <c r="DB31"/>
  <c r="BX35"/>
  <c r="T29"/>
  <c r="EV28"/>
  <c r="AC28"/>
  <c r="T27"/>
  <c r="EP26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B17"/>
  <c r="CE17"/>
  <c r="AC17"/>
  <c r="T17"/>
  <c r="T16"/>
  <c r="N16"/>
  <c r="Q15"/>
  <c r="N15"/>
  <c r="DJ14"/>
  <c r="CN14"/>
  <c r="AI14"/>
  <c r="E43" i="3"/>
  <c r="F29" i="4"/>
  <c r="E5"/>
  <c r="E57" i="5"/>
  <c r="D25"/>
  <c r="E25" s="1"/>
  <c r="E30" i="6"/>
  <c r="E5" i="7"/>
  <c r="AT18" i="2"/>
  <c r="G18" s="1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AZ31" i="2"/>
  <c r="BG27"/>
  <c r="BE31"/>
  <c r="F27"/>
  <c r="E36" i="7"/>
  <c r="F36"/>
  <c r="BQ17" i="2"/>
  <c r="BS17" s="1"/>
  <c r="DH22"/>
  <c r="DZ31"/>
  <c r="BM31"/>
  <c r="BK35"/>
  <c r="BK33"/>
  <c r="E4" i="5"/>
  <c r="BP28" i="2"/>
  <c r="EV26"/>
  <c r="DJ23"/>
  <c r="AF17"/>
  <c r="CH16"/>
  <c r="EA15"/>
  <c r="CQ15"/>
  <c r="BZ15"/>
  <c r="C15" s="1"/>
  <c r="E64" i="8"/>
  <c r="C25" i="9"/>
  <c r="F25" s="1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26" i="1"/>
  <c r="EM16" i="2"/>
  <c r="E25" i="19"/>
  <c r="CN26" i="2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1" i="3"/>
  <c r="C40" i="5"/>
  <c r="C52" s="1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4" i="3"/>
  <c r="G39" i="1"/>
  <c r="E134" i="3"/>
  <c r="F5"/>
  <c r="F5" i="1"/>
  <c r="C4" i="3"/>
  <c r="E5"/>
  <c r="E12" i="5"/>
  <c r="F12"/>
  <c r="E31" i="7"/>
  <c r="F31"/>
  <c r="C25"/>
  <c r="C39" s="1"/>
  <c r="C50" s="1"/>
  <c r="F17" i="8"/>
  <c r="D4"/>
  <c r="EH19" i="2"/>
  <c r="EJ19" s="1"/>
  <c r="F76" i="9"/>
  <c r="E5"/>
  <c r="F5"/>
  <c r="E76" i="10"/>
  <c r="EI20" i="2"/>
  <c r="EI21"/>
  <c r="EJ21" s="1"/>
  <c r="E76" i="11"/>
  <c r="E31"/>
  <c r="C25"/>
  <c r="C39" s="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87" i="3"/>
  <c r="C142"/>
  <c r="F87"/>
  <c r="EK18" i="2"/>
  <c r="E80" i="8"/>
  <c r="C25"/>
  <c r="F26"/>
  <c r="E41" i="3"/>
  <c r="G16" i="1"/>
  <c r="F41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AJ33" i="2"/>
  <c r="F100" i="5"/>
  <c r="CF33" i="2"/>
  <c r="AD33"/>
  <c r="H11" i="1"/>
  <c r="ER31" i="2"/>
  <c r="J38" i="1" s="1"/>
  <c r="D100" i="6"/>
  <c r="F91" i="9"/>
  <c r="E88" i="10"/>
  <c r="EV23" i="2"/>
  <c r="F65" i="5"/>
  <c r="E32" i="18"/>
  <c r="CK18" i="2"/>
  <c r="E27" i="3"/>
  <c r="G13" i="1"/>
  <c r="F27" i="3"/>
  <c r="BF14" i="2"/>
  <c r="E31" i="4"/>
  <c r="D25"/>
  <c r="D37" s="1"/>
  <c r="D47" s="1"/>
  <c r="E5" i="5"/>
  <c r="F5"/>
  <c r="ET16" i="2"/>
  <c r="E96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4" i="3"/>
  <c r="F114"/>
  <c r="F120"/>
  <c r="E120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C38"/>
  <c r="E75" i="6"/>
  <c r="C72"/>
  <c r="F75"/>
  <c r="E72" i="7"/>
  <c r="F72"/>
  <c r="F78"/>
  <c r="C75"/>
  <c r="CR31" i="2"/>
  <c r="CT19"/>
  <c r="H20"/>
  <c r="BO31"/>
  <c r="E4" i="11"/>
  <c r="F72" i="17"/>
  <c r="CN28" i="2"/>
  <c r="F49" i="3"/>
  <c r="F31" i="8"/>
  <c r="E17" i="9"/>
  <c r="F31" i="11"/>
  <c r="F88" i="12"/>
  <c r="C95" i="13"/>
  <c r="F87" i="14"/>
  <c r="C25"/>
  <c r="E14" i="16"/>
  <c r="D101" i="9"/>
  <c r="ES22" i="2"/>
  <c r="CZ35"/>
  <c r="DK16"/>
  <c r="DX16"/>
  <c r="F19" i="1"/>
  <c r="E49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E4" s="1"/>
  <c r="F64" i="11"/>
  <c r="E64"/>
  <c r="E20"/>
  <c r="F20"/>
  <c r="E5"/>
  <c r="F5"/>
  <c r="F17" i="12"/>
  <c r="C4"/>
  <c r="C40" s="1"/>
  <c r="C51" s="1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D12" i="7"/>
  <c r="E13"/>
  <c r="Y17" i="2"/>
  <c r="F13" i="7"/>
  <c r="Y19" i="2"/>
  <c r="G19" s="1"/>
  <c r="E13" i="9"/>
  <c r="D12"/>
  <c r="F94" i="8"/>
  <c r="CE23" i="2"/>
  <c r="K22"/>
  <c r="F22"/>
  <c r="C22" s="1"/>
  <c r="E17" i="5"/>
  <c r="F17"/>
  <c r="E63" i="7"/>
  <c r="F63"/>
  <c r="F83" i="8"/>
  <c r="E83"/>
  <c r="EO18" i="2"/>
  <c r="E29" i="9"/>
  <c r="F29"/>
  <c r="EF20" i="2"/>
  <c r="F14" i="12"/>
  <c r="D4"/>
  <c r="D25" i="13"/>
  <c r="E29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70" i="7"/>
  <c r="EF17" i="2"/>
  <c r="EC14"/>
  <c r="F62" i="4"/>
  <c r="E62"/>
  <c r="CI31" i="2"/>
  <c r="CK16"/>
  <c r="CW14"/>
  <c r="CV31"/>
  <c r="F73" i="10"/>
  <c r="C71"/>
  <c r="EE20" i="2" s="1"/>
  <c r="DG20" s="1"/>
  <c r="F72" i="11"/>
  <c r="C71"/>
  <c r="C80"/>
  <c r="E81"/>
  <c r="E70" i="13"/>
  <c r="F70"/>
  <c r="C71" i="14"/>
  <c r="F74"/>
  <c r="F97" i="9"/>
  <c r="D25" i="7"/>
  <c r="BA21" i="2"/>
  <c r="BA15"/>
  <c r="EM23"/>
  <c r="BA25"/>
  <c r="ES26"/>
  <c r="EA29"/>
  <c r="EP28"/>
  <c r="CK26"/>
  <c r="DO25"/>
  <c r="EA24"/>
  <c r="DR21"/>
  <c r="AL21"/>
  <c r="DX20"/>
  <c r="K20"/>
  <c r="AF19"/>
  <c r="AF18"/>
  <c r="N18"/>
  <c r="CN17"/>
  <c r="Q17"/>
  <c r="AR26"/>
  <c r="H29" i="1"/>
  <c r="DJ29" i="2"/>
  <c r="DL29" s="1"/>
  <c r="CH29"/>
  <c r="N29"/>
  <c r="ES28"/>
  <c r="DU28"/>
  <c r="DU27"/>
  <c r="DO27"/>
  <c r="AC27"/>
  <c r="DR26"/>
  <c r="BG26"/>
  <c r="DR25"/>
  <c r="BG25"/>
  <c r="T25"/>
  <c r="CN25"/>
  <c r="ED24"/>
  <c r="EJ23"/>
  <c r="Q23"/>
  <c r="EV22"/>
  <c r="DU22"/>
  <c r="AI22"/>
  <c r="DY31"/>
  <c r="I30" i="1" s="1"/>
  <c r="AC20" i="2"/>
  <c r="CE19"/>
  <c r="T19"/>
  <c r="U31"/>
  <c r="U35" s="1"/>
  <c r="CH17"/>
  <c r="BG17"/>
  <c r="W17"/>
  <c r="DO16"/>
  <c r="W14"/>
  <c r="Q14"/>
  <c r="BS20"/>
  <c r="H17" i="1"/>
  <c r="H4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F17"/>
  <c r="C17" s="1"/>
  <c r="BG16"/>
  <c r="EA14"/>
  <c r="DU14"/>
  <c r="N14"/>
  <c r="AR15"/>
  <c r="CT26"/>
  <c r="AR27"/>
  <c r="AO31"/>
  <c r="AO33" s="1"/>
  <c r="ER33"/>
  <c r="E11" i="1"/>
  <c r="BH33" i="2"/>
  <c r="BH35"/>
  <c r="BJ31"/>
  <c r="DE35"/>
  <c r="DE33"/>
  <c r="CB26"/>
  <c r="I13" i="1"/>
  <c r="DJ28" i="2"/>
  <c r="DJ27"/>
  <c r="DW31"/>
  <c r="AH31"/>
  <c r="EG18"/>
  <c r="DK27"/>
  <c r="DJ21"/>
  <c r="DL17" l="1"/>
  <c r="DG14"/>
  <c r="D39" i="16"/>
  <c r="F4"/>
  <c r="F25" i="6"/>
  <c r="AN35" i="2"/>
  <c r="C28"/>
  <c r="C40" i="14"/>
  <c r="C51" s="1"/>
  <c r="DL23" i="2"/>
  <c r="I6" i="1"/>
  <c r="C6" s="1"/>
  <c r="F25" i="12"/>
  <c r="CB25" i="2"/>
  <c r="DL18"/>
  <c r="D40" i="14"/>
  <c r="V33" i="2"/>
  <c r="C26"/>
  <c r="CL35"/>
  <c r="D28"/>
  <c r="E28" s="1"/>
  <c r="H28"/>
  <c r="D49" i="19"/>
  <c r="CB27" i="2"/>
  <c r="F4" i="15"/>
  <c r="CO33" i="2"/>
  <c r="D40" i="18"/>
  <c r="D52" s="1"/>
  <c r="D53" s="1"/>
  <c r="DT35" i="2"/>
  <c r="CB28"/>
  <c r="E89" i="18"/>
  <c r="BZ31" i="2"/>
  <c r="BZ35" s="1"/>
  <c r="DU31"/>
  <c r="DU33" s="1"/>
  <c r="I33"/>
  <c r="D27"/>
  <c r="DO31"/>
  <c r="CQ31"/>
  <c r="CP33"/>
  <c r="DS33"/>
  <c r="CC33"/>
  <c r="I5" i="1"/>
  <c r="L33" i="2"/>
  <c r="N31"/>
  <c r="DQ35"/>
  <c r="G4" i="1"/>
  <c r="G26" i="2"/>
  <c r="D26" s="1"/>
  <c r="E26" s="1"/>
  <c r="AQ35"/>
  <c r="D71" i="3"/>
  <c r="D82" s="1"/>
  <c r="D83" s="1"/>
  <c r="F4"/>
  <c r="AF31" i="2"/>
  <c r="AE33"/>
  <c r="J10" i="1"/>
  <c r="D10" s="1"/>
  <c r="E10" s="1"/>
  <c r="DR31" i="2"/>
  <c r="DR33" s="1"/>
  <c r="E4" i="15"/>
  <c r="D40"/>
  <c r="D51" s="1"/>
  <c r="D52" s="1"/>
  <c r="DP33" i="2"/>
  <c r="DL25"/>
  <c r="D29"/>
  <c r="EX29" s="1"/>
  <c r="J25" i="1"/>
  <c r="D25" s="1"/>
  <c r="CS35" i="2"/>
  <c r="CS33"/>
  <c r="M35"/>
  <c r="AM33"/>
  <c r="DH16"/>
  <c r="J35"/>
  <c r="ED28"/>
  <c r="F25" i="10"/>
  <c r="E25" i="16"/>
  <c r="D25" i="2"/>
  <c r="EX25" s="1"/>
  <c r="DN33"/>
  <c r="C39" i="16"/>
  <c r="C50" s="1"/>
  <c r="AD35" i="2"/>
  <c r="AP31"/>
  <c r="I15" i="1" s="1"/>
  <c r="C15" s="1"/>
  <c r="H34"/>
  <c r="D34"/>
  <c r="E34" s="1"/>
  <c r="K31" i="2"/>
  <c r="BQ31"/>
  <c r="BQ33" s="1"/>
  <c r="DG18"/>
  <c r="D39" i="11"/>
  <c r="D51" s="1"/>
  <c r="D52" s="1"/>
  <c r="DG23" i="2"/>
  <c r="EW23" s="1"/>
  <c r="J5" i="1"/>
  <c r="D5" s="1"/>
  <c r="C37" i="13"/>
  <c r="C49" s="1"/>
  <c r="C50" s="1"/>
  <c r="F39" i="16"/>
  <c r="DM33" i="2"/>
  <c r="E97" i="8"/>
  <c r="F29" i="2"/>
  <c r="C29" s="1"/>
  <c r="D20"/>
  <c r="C52" i="12"/>
  <c r="D16" i="2"/>
  <c r="P35"/>
  <c r="Q31"/>
  <c r="C53" i="5"/>
  <c r="R33" i="2"/>
  <c r="D24"/>
  <c r="E24" s="1"/>
  <c r="I7" i="1"/>
  <c r="E25" i="9"/>
  <c r="ER35" i="2"/>
  <c r="EM18"/>
  <c r="G15"/>
  <c r="C20"/>
  <c r="EW20" s="1"/>
  <c r="X35"/>
  <c r="CJ33"/>
  <c r="AS33"/>
  <c r="C14"/>
  <c r="J6" i="1"/>
  <c r="D6" s="1"/>
  <c r="E6" s="1"/>
  <c r="CM33" i="2"/>
  <c r="DV35"/>
  <c r="Z19"/>
  <c r="DG22"/>
  <c r="EW22" s="1"/>
  <c r="DL16"/>
  <c r="U33"/>
  <c r="DH28"/>
  <c r="EN31"/>
  <c r="EN33" s="1"/>
  <c r="BS28"/>
  <c r="C47" i="4"/>
  <c r="D50" i="16"/>
  <c r="F50" s="1"/>
  <c r="C40" i="15"/>
  <c r="DL22" i="2"/>
  <c r="E16"/>
  <c r="EG19"/>
  <c r="D40" i="5"/>
  <c r="E142" i="3"/>
  <c r="S35" i="2"/>
  <c r="T31"/>
  <c r="F98" i="12"/>
  <c r="E98"/>
  <c r="CH31" i="2"/>
  <c r="DK31"/>
  <c r="DK33" s="1"/>
  <c r="CG33"/>
  <c r="AK35"/>
  <c r="J13" i="1"/>
  <c r="D13" s="1"/>
  <c r="AK33" i="2"/>
  <c r="AX33"/>
  <c r="AX35"/>
  <c r="DY33"/>
  <c r="F25" i="5"/>
  <c r="CN31" i="2"/>
  <c r="C40" i="18"/>
  <c r="AC31" i="2"/>
  <c r="J8" i="1"/>
  <c r="K8" s="1"/>
  <c r="AB35" i="2"/>
  <c r="W31"/>
  <c r="W33" s="1"/>
  <c r="EA31"/>
  <c r="CE31"/>
  <c r="AU18"/>
  <c r="AT31"/>
  <c r="D18"/>
  <c r="DH20"/>
  <c r="DB33"/>
  <c r="DC31"/>
  <c r="DB35"/>
  <c r="CB15"/>
  <c r="F4" i="18"/>
  <c r="E4"/>
  <c r="DZ35" i="2"/>
  <c r="DZ33"/>
  <c r="J30" i="1"/>
  <c r="D30" s="1"/>
  <c r="I21"/>
  <c r="C21" s="1"/>
  <c r="DY35" i="2"/>
  <c r="DL28"/>
  <c r="E25" i="18"/>
  <c r="E25" i="10"/>
  <c r="C39" i="9"/>
  <c r="C51" s="1"/>
  <c r="C52" s="1"/>
  <c r="BM33" i="2"/>
  <c r="BM35"/>
  <c r="BE33"/>
  <c r="I18" i="1"/>
  <c r="C18" s="1"/>
  <c r="BE35" i="2"/>
  <c r="CD35"/>
  <c r="E71" i="10"/>
  <c r="F21" i="2"/>
  <c r="C27"/>
  <c r="E27" s="1"/>
  <c r="H27"/>
  <c r="AZ33"/>
  <c r="J17" i="1"/>
  <c r="D17" s="1"/>
  <c r="AZ35" i="2"/>
  <c r="E37" i="4"/>
  <c r="F37"/>
  <c r="EE24" i="2"/>
  <c r="E71" i="14"/>
  <c r="F71"/>
  <c r="C97"/>
  <c r="EK21" i="2"/>
  <c r="EM21" s="1"/>
  <c r="F80" i="11"/>
  <c r="E80"/>
  <c r="DH14" i="2"/>
  <c r="DI14" s="1"/>
  <c r="DL14"/>
  <c r="EE16"/>
  <c r="C100" i="6"/>
  <c r="C53" s="1"/>
  <c r="E72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BO35" i="2"/>
  <c r="BP31"/>
  <c r="J20" i="1"/>
  <c r="D20" s="1"/>
  <c r="E20" s="1"/>
  <c r="BO33" i="2"/>
  <c r="H15"/>
  <c r="D15"/>
  <c r="EG15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G23"/>
  <c r="EG20"/>
  <c r="F95" i="13"/>
  <c r="EB31" i="2"/>
  <c r="DG19"/>
  <c r="EW19" s="1"/>
  <c r="ED27"/>
  <c r="H22"/>
  <c r="CI35"/>
  <c r="CI33"/>
  <c r="CK31"/>
  <c r="DH17"/>
  <c r="EG17"/>
  <c r="EF31"/>
  <c r="EO31"/>
  <c r="EP18"/>
  <c r="BA18"/>
  <c r="AY31"/>
  <c r="F18"/>
  <c r="C35" i="1"/>
  <c r="E35" s="1"/>
  <c r="F28"/>
  <c r="H35"/>
  <c r="F4"/>
  <c r="H5"/>
  <c r="C5"/>
  <c r="D52" i="10"/>
  <c r="F32" i="3"/>
  <c r="E32"/>
  <c r="ED14" i="2"/>
  <c r="EC3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C51" s="1"/>
  <c r="EH17" i="2"/>
  <c r="EJ17" s="1"/>
  <c r="ES19"/>
  <c r="EQ31"/>
  <c r="F25" i="4"/>
  <c r="E25"/>
  <c r="F100" i="6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1" i="3"/>
  <c r="C39" i="8"/>
  <c r="C51" s="1"/>
  <c r="C52" s="1"/>
  <c r="F142" i="3"/>
  <c r="E4"/>
  <c r="D37" i="13"/>
  <c r="F25"/>
  <c r="E25"/>
  <c r="CB21" i="2"/>
  <c r="D21"/>
  <c r="EK27"/>
  <c r="DG27" s="1"/>
  <c r="C98" i="17"/>
  <c r="C53" s="1"/>
  <c r="D16" i="1"/>
  <c r="E16" s="1"/>
  <c r="G14"/>
  <c r="H16"/>
  <c r="E4" i="19"/>
  <c r="C37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C51" i="11"/>
  <c r="F39"/>
  <c r="DG28" i="2"/>
  <c r="EW28" s="1"/>
  <c r="F72" i="6"/>
  <c r="F81" i="17"/>
  <c r="DH23" i="2"/>
  <c r="DI23" s="1"/>
  <c r="DH18"/>
  <c r="I24" i="1"/>
  <c r="DG21" i="2"/>
  <c r="DL21"/>
  <c r="CB22"/>
  <c r="D22"/>
  <c r="CA31"/>
  <c r="C13" i="1"/>
  <c r="BJ33" i="2"/>
  <c r="BJ35"/>
  <c r="DX31"/>
  <c r="DW35"/>
  <c r="DW33"/>
  <c r="DH27"/>
  <c r="DL27"/>
  <c r="AH33"/>
  <c r="J12" i="1"/>
  <c r="AI31" i="2"/>
  <c r="AH35"/>
  <c r="EX16"/>
  <c r="C30" i="1"/>
  <c r="DJ31" i="2"/>
  <c r="H26" l="1"/>
  <c r="I4" i="1"/>
  <c r="EX20" i="2"/>
  <c r="EY20" s="1"/>
  <c r="E39" i="16"/>
  <c r="EW14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50" i="16"/>
  <c r="EN35" i="2"/>
  <c r="EX24"/>
  <c r="E29"/>
  <c r="EX18"/>
  <c r="I37" i="1"/>
  <c r="E39" i="11"/>
  <c r="E100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EY28" i="2"/>
  <c r="DI21"/>
  <c r="EX21"/>
  <c r="F96" i="7"/>
  <c r="DC35" i="2"/>
  <c r="DC33"/>
  <c r="AT35"/>
  <c r="AT33"/>
  <c r="J15" i="1"/>
  <c r="AU31" i="2"/>
  <c r="DI28"/>
  <c r="H28" i="1"/>
  <c r="EK31" i="2"/>
  <c r="EM31" s="1"/>
  <c r="E94" i="19"/>
  <c r="DG17" i="2"/>
  <c r="EW17" s="1"/>
  <c r="EM27"/>
  <c r="H21"/>
  <c r="C21"/>
  <c r="E21" s="1"/>
  <c r="F37" i="13"/>
  <c r="D49"/>
  <c r="E37"/>
  <c r="C82" i="3"/>
  <c r="F71"/>
  <c r="E71"/>
  <c r="H23" i="2"/>
  <c r="D23"/>
  <c r="F96" i="16"/>
  <c r="E96"/>
  <c r="C51"/>
  <c r="E4" i="7"/>
  <c r="D39"/>
  <c r="F4"/>
  <c r="H4" i="1"/>
  <c r="F23"/>
  <c r="F27" s="1"/>
  <c r="F43" s="1"/>
  <c r="EI33" i="2"/>
  <c r="J33" i="1"/>
  <c r="EI35" i="2"/>
  <c r="F97" i="15"/>
  <c r="E97"/>
  <c r="F99" i="18"/>
  <c r="E99"/>
  <c r="D17" i="2"/>
  <c r="H17"/>
  <c r="ET33"/>
  <c r="ET35"/>
  <c r="I41" i="1"/>
  <c r="DG16" i="2"/>
  <c r="EG16"/>
  <c r="EE31"/>
  <c r="E97" i="14"/>
  <c r="F97"/>
  <c r="F47" i="4"/>
  <c r="E47"/>
  <c r="D48"/>
  <c r="BD35" i="2"/>
  <c r="BD33"/>
  <c r="E37" i="19"/>
  <c r="F37"/>
  <c r="C48"/>
  <c r="D28" i="1"/>
  <c r="E39"/>
  <c r="J21"/>
  <c r="D21" s="1"/>
  <c r="BR33" i="2"/>
  <c r="BR35"/>
  <c r="BS31"/>
  <c r="EQ35"/>
  <c r="EQ33"/>
  <c r="I38" i="1"/>
  <c r="K38" s="1"/>
  <c r="ES31" i="2"/>
  <c r="EC33"/>
  <c r="EC35"/>
  <c r="J31" i="1"/>
  <c r="ED31" i="2"/>
  <c r="BA31"/>
  <c r="AY35"/>
  <c r="AY33"/>
  <c r="I17" i="1"/>
  <c r="J32"/>
  <c r="EF33" i="2"/>
  <c r="EF35"/>
  <c r="I31" i="1"/>
  <c r="EB35" i="2"/>
  <c r="EB33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EY19" s="1"/>
  <c r="C18"/>
  <c r="H18"/>
  <c r="F31"/>
  <c r="EO33"/>
  <c r="EO35"/>
  <c r="J37" i="1"/>
  <c r="EP31" i="2"/>
  <c r="E4" i="9"/>
  <c r="F4"/>
  <c r="D39"/>
  <c r="F40" i="12"/>
  <c r="D51"/>
  <c r="E40"/>
  <c r="E98" i="17"/>
  <c r="DI17" i="2"/>
  <c r="H25"/>
  <c r="C25"/>
  <c r="K25" i="1"/>
  <c r="C25"/>
  <c r="E25" s="1"/>
  <c r="EJ29" i="2"/>
  <c r="DG29"/>
  <c r="F40" i="14"/>
  <c r="D51"/>
  <c r="E40"/>
  <c r="D52" i="17"/>
  <c r="E37"/>
  <c r="F37"/>
  <c r="H14" i="2"/>
  <c r="G31"/>
  <c r="D14"/>
  <c r="D31" s="1"/>
  <c r="EW15"/>
  <c r="DI15"/>
  <c r="C51" i="10"/>
  <c r="F39"/>
  <c r="E39"/>
  <c r="J7" i="1"/>
  <c r="J4" s="1"/>
  <c r="Y33" i="2"/>
  <c r="Z31"/>
  <c r="Y35"/>
  <c r="CW35"/>
  <c r="CW33"/>
  <c r="F98" i="17"/>
  <c r="C52" i="14"/>
  <c r="I29" i="1"/>
  <c r="DJ33" i="2"/>
  <c r="DJ35"/>
  <c r="EX27"/>
  <c r="DI27"/>
  <c r="E30" i="1"/>
  <c r="C28"/>
  <c r="K12"/>
  <c r="D12"/>
  <c r="DH31" i="2"/>
  <c r="DL31"/>
  <c r="E22"/>
  <c r="EX22"/>
  <c r="EY22" s="1"/>
  <c r="CA35"/>
  <c r="CB31"/>
  <c r="J24" i="1"/>
  <c r="CA33" i="2"/>
  <c r="EY27" l="1"/>
  <c r="K29" i="1"/>
  <c r="EK33" i="2"/>
  <c r="E52" i="18"/>
  <c r="F52"/>
  <c r="D35" i="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5" i="2"/>
  <c r="EE33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3" i="3"/>
  <c r="E82"/>
  <c r="F82"/>
  <c r="EG31" i="2"/>
  <c r="K31" i="1"/>
  <c r="F39" i="7"/>
  <c r="D50"/>
  <c r="E39"/>
  <c r="I33" i="1"/>
  <c r="K33" s="1"/>
  <c r="EH35" i="2"/>
  <c r="EH33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28" i="1"/>
  <c r="E12"/>
  <c r="K24"/>
  <c r="E31" i="2" l="1"/>
  <c r="C35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E17" i="1"/>
  <c r="C14"/>
  <c r="C23" s="1"/>
  <c r="J43"/>
  <c r="C27" l="1"/>
  <c r="C43" s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<sst xmlns="http://schemas.openxmlformats.org/spreadsheetml/2006/main" count="2756" uniqueCount="388">
  <si>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</si>
  <si>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</si>
  <si>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</si>
  <si>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</si>
  <si>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</si>
  <si>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</si>
  <si>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</si>
  <si>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</si>
  <si>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</si>
  <si>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</si>
  <si>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</si>
  <si>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</si>
  <si>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</si>
  <si>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</si>
  <si>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</si>
  <si>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</si>
  <si>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</si>
  <si>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</si>
  <si>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</si>
  <si>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</si>
  <si>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</si>
  <si>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</si>
  <si>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</si>
  <si>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</si>
  <si>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</si>
  <si>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</si>
  <si>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</si>
  <si>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</si>
  <si>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</si>
  <si>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</si>
  <si>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</si>
  <si>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</si>
  <si>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</si>
  <si>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</si>
  <si>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</si>
  <si>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</si>
  <si>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</si>
  <si>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</si>
  <si>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</si>
  <si>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</si>
  <si>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</si>
  <si>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</si>
  <si>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</si>
  <si>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</si>
  <si>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</si>
  <si>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</si>
  <si>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</si>
  <si>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</si>
  <si>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</si>
  <si>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</si>
  <si>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</si>
  <si>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</si>
  <si>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</si>
  <si>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</si>
  <si>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</si>
  <si>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</si>
  <si>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</si>
  <si>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</si>
  <si>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</si>
  <si>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</si>
  <si>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</si>
  <si>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</si>
  <si>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</si>
  <si>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</si>
  <si>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</si>
  <si>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</si>
  <si>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</si>
  <si>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</si>
  <si>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</si>
  <si>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</si>
  <si>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</si>
  <si>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</si>
  <si>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</si>
  <si>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</si>
  <si>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</si>
  <si>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</si>
  <si>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</si>
  <si>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</si>
  <si>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</si>
  <si>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</si>
  <si>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</si>
  <si>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</si>
  <si>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</si>
  <si>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</si>
  <si>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</si>
  <si>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</si>
  <si>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</si>
  <si>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</si>
  <si>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</si>
  <si>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</si>
  <si>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</si>
  <si>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</si>
  <si>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</si>
  <si>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</si>
  <si>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</si>
  <si>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</si>
  <si>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</si>
  <si>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</si>
  <si>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</si>
  <si>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</si>
  <si>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</si>
  <si>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</si>
  <si>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</si>
  <si>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</si>
  <si>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</si>
  <si>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</si>
  <si>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</si>
  <si>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</si>
  <si>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</si>
  <si>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</si>
  <si>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</si>
  <si>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</si>
  <si>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</si>
  <si>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</si>
  <si>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</si>
  <si>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</si>
  <si>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</si>
  <si>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</si>
  <si>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</si>
  <si>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</si>
  <si>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</si>
  <si>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</si>
  <si>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</si>
  <si>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</si>
  <si>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</si>
  <si>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</si>
  <si>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</si>
  <si>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</si>
  <si>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</si>
  <si>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</si>
  <si>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</si>
  <si>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</si>
  <si>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</si>
  <si>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</si>
  <si>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</si>
  <si>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</si>
  <si>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</si>
  <si>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</si>
  <si>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</si>
  <si>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</si>
  <si>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</si>
  <si>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</si>
  <si>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</si>
  <si>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</si>
  <si>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</si>
  <si>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</si>
  <si>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</si>
  <si>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</si>
  <si>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</si>
  <si>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</si>
  <si>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</si>
  <si>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</si>
  <si>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</si>
  <si>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</si>
  <si>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</si>
  <si>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</si>
  <si>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</si>
  <si>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</si>
  <si>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</si>
  <si>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</si>
  <si>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</si>
  <si>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</si>
  <si>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</si>
  <si>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</si>
  <si>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</si>
  <si>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</si>
  <si>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</si>
  <si>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</si>
  <si>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</si>
  <si>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</si>
  <si>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</si>
  <si>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</si>
  <si>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</si>
  <si>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</si>
  <si>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</si>
  <si>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</si>
  <si>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</si>
  <si>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</si>
  <si>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</si>
  <si>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</si>
  <si>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</si>
  <si>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</si>
  <si>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</si>
  <si>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</si>
  <si>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</si>
  <si>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</si>
  <si>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</si>
  <si>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</si>
  <si>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</si>
  <si>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</si>
  <si>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</si>
  <si>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</si>
  <si>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</si>
  <si>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</si>
  <si>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</si>
  <si>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</si>
  <si>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</si>
  <si>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</si>
  <si>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</si>
  <si>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</si>
  <si>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</si>
  <si>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</si>
  <si>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</si>
  <si>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</si>
  <si>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</si>
  <si>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</si>
  <si>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</si>
  <si>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</si>
  <si>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</si>
  <si>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</si>
  <si>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</si>
  <si>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</si>
  <si>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</si>
  <si>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</si>
  <si>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</si>
  <si>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</si>
  <si>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</si>
  <si>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</si>
  <si>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</si>
  <si>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</si>
  <si>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</si>
  <si>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</si>
  <si>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</si>
  <si>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</si>
  <si>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</si>
  <si>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</si>
  <si>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</si>
  <si>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</si>
  <si>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</si>
  <si>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</si>
  <si>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</si>
  <si>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</si>
  <si>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</si>
  <si>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</si>
  <si>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</si>
  <si>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</si>
  <si>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</si>
  <si>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</si>
  <si>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</si>
  <si>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</si>
  <si>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</si>
  <si>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</si>
  <si>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</si>
  <si>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</si>
  <si>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</si>
  <si>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</si>
  <si>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</si>
  <si>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</si>
  <si>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</si>
  <si>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</si>
  <si>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</si>
  <si>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</si>
  <si>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</si>
  <si>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</si>
  <si>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</si>
  <si>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</si>
  <si>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</si>
  <si>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</si>
  <si>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</si>
  <si>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</si>
  <si>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</si>
  <si>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</si>
  <si>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</si>
  <si>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</si>
  <si>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</si>
  <si>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</si>
  <si>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</si>
  <si>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</si>
  <si>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</si>
  <si>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</si>
  <si>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</si>
  <si>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</si>
  <si>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</si>
  <si>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</si>
  <si>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</si>
  <si>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</si>
  <si>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</si>
  <si>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</si>
  <si>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</si>
  <si>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</si>
  <si>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</si>
  <si>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</si>
  <si>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</si>
  <si>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</si>
  <si>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</si>
  <si>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</si>
  <si>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</si>
  <si>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</si>
  <si>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</si>
  <si>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</si>
  <si>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</si>
  <si>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</si>
  <si>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</si>
  <si>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</si>
  <si>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</si>
  <si>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</si>
  <si>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</si>
  <si>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</si>
  <si>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</si>
  <si>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</si>
  <si>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</si>
  <si>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</si>
  <si>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</si>
  <si>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</si>
  <si>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</si>
  <si>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</si>
  <si>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</si>
  <si>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</si>
  <si>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</si>
  <si>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</si>
  <si>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</si>
  <si>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</si>
  <si>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</si>
  <si>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</si>
  <si>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</si>
  <si>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</si>
  <si>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</si>
  <si>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</si>
  <si>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</si>
  <si>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</si>
  <si>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</si>
  <si>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</si>
  <si>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</si>
  <si>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</si>
  <si>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</si>
  <si>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</si>
  <si>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</si>
  <si>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</si>
  <si>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</si>
  <si>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</si>
  <si>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</si>
  <si>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</si>
  <si>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</si>
  <si>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</si>
  <si>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</si>
  <si>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</si>
  <si>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</si>
  <si>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</si>
  <si>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</si>
  <si>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</si>
  <si>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</si>
  <si>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</si>
  <si>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</si>
  <si>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</si>
  <si>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</si>
  <si>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</si>
  <si>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</si>
  <si>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</si>
  <si>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</si>
  <si>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</si>
  <si>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</si>
  <si>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</si>
  <si>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</si>
  <si>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</si>
  <si>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</si>
  <si>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</si>
  <si>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</si>
  <si>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</si>
  <si>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</si>
  <si>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</si>
  <si>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Анализ исполнения консолидированного бюджета Моргаушского районана 01.07.2018 г.</t>
  </si>
  <si>
    <t>исполнено на 01.07.2018 г.</t>
  </si>
  <si>
    <t>об исполнении бюджетов поселений  Моргаушского района  на 1 июля 2018 г.</t>
  </si>
  <si>
    <t xml:space="preserve">                          Моргаушского района на 01.07.2018 г. </t>
  </si>
  <si>
    <t xml:space="preserve">исполнено на 01.07.2018 г. </t>
  </si>
  <si>
    <t>исполнен на 01.07.2018 г.</t>
  </si>
  <si>
    <t xml:space="preserve">                     Анализ исполнения бюджета Александровского сельского поселения на 01.07.2018 г.</t>
  </si>
  <si>
    <t>исполнено на 01.07.2018 г</t>
  </si>
  <si>
    <t xml:space="preserve">                     Анализ исполнения бюджета Большесундырского сельского поселения на 01.07.2018 г.</t>
  </si>
  <si>
    <t xml:space="preserve">                     Анализ исполнения бюджета Ильинского сельского поселения на 01.07.2018 г.</t>
  </si>
  <si>
    <t xml:space="preserve">                     Анализ исполнения бюджета Кадикасинского сельского поселения на 01.07.2018 г.</t>
  </si>
  <si>
    <t xml:space="preserve">                     Анализ исполнения бюджета Моргаушского сельского поселения на 01.07.2018 г.</t>
  </si>
  <si>
    <t xml:space="preserve">                     Анализ исполнения бюджета Москакасинского сельского поселения на 01.07.2018 г.</t>
  </si>
  <si>
    <t xml:space="preserve">                     Анализ исполнения бюджета Орининского сельского поселения на 01.07.2018 г.</t>
  </si>
  <si>
    <t xml:space="preserve">                     Анализ исполнения бюджета Сятракасинского сельского поселения на 01.07.2018 г.</t>
  </si>
  <si>
    <t xml:space="preserve">                     Анализ исполнения бюджета Тораевского сельского поселения на 01.07.2018 г.</t>
  </si>
  <si>
    <t xml:space="preserve">                     Анализ исполнения бюджета Хорнойского сельского поселения на 01.07.2018 г.</t>
  </si>
  <si>
    <t xml:space="preserve">                     Анализ исполнения бюджета Чуманкасинского сельского поселения на 01.07.2018 г.</t>
  </si>
  <si>
    <t xml:space="preserve">                     Анализ исполнения бюджета Шатьмапосинского сельского поселения на 01.07.2018 г.</t>
  </si>
  <si>
    <t xml:space="preserve">                     Анализ исполнения бюджета Юнгинского сельского поселения на 01.07.2018 г.</t>
  </si>
  <si>
    <t xml:space="preserve">                     Анализ исполнения бюджета Юськасинского сельского поселения на 01.07.2018 г.</t>
  </si>
  <si>
    <t>исполнено на 01.07.2018г.</t>
  </si>
  <si>
    <t xml:space="preserve">                     Анализ исполнения бюджета Ярабайкасинского сельского поселения на 01.07.2018 г.</t>
  </si>
  <si>
    <t xml:space="preserve">                     Анализ исполнения бюджета Ярославского сельского поселения на 01.07.2018 г.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</si>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</sst>
</file>

<file path=xl/styles.xml><?xml version="1.0" encoding="utf-8"?>
<styleSheet xmlns="http://schemas.openxmlformats.org/spreadsheetml/2006/main">
  <numFmts count="1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454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22" fillId="3" borderId="1" xfId="10" applyFont="1" applyFill="1" applyBorder="1" applyAlignment="1">
      <alignment vertical="center" wrapText="1"/>
    </xf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78" fontId="3" fillId="0" borderId="1" xfId="11" applyNumberFormat="1" applyFont="1" applyFill="1" applyBorder="1" applyAlignment="1">
      <alignment horizontal="center" vertical="center" wrapText="1"/>
    </xf>
    <xf numFmtId="178" fontId="7" fillId="0" borderId="0" xfId="8" applyNumberFormat="1" applyFont="1"/>
    <xf numFmtId="178" fontId="5" fillId="0" borderId="0" xfId="9" applyNumberFormat="1" applyFont="1" applyAlignment="1">
      <alignment horizontal="center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68" fontId="3" fillId="0" borderId="1" xfId="12" applyNumberFormat="1" applyFont="1" applyBorder="1" applyAlignment="1">
      <alignment horizontal="right" vertical="center"/>
    </xf>
    <xf numFmtId="178" fontId="3" fillId="0" borderId="1" xfId="11" applyNumberFormat="1" applyFont="1" applyBorder="1" applyAlignment="1">
      <alignment horizontal="center" vertical="center" wrapText="1"/>
    </xf>
    <xf numFmtId="178" fontId="32" fillId="0" borderId="2" xfId="11" applyNumberFormat="1" applyFont="1" applyBorder="1" applyAlignment="1">
      <alignment horizontal="right" vertical="center"/>
    </xf>
    <xf numFmtId="178" fontId="32" fillId="0" borderId="1" xfId="11" applyNumberFormat="1" applyFont="1" applyBorder="1" applyAlignment="1">
      <alignment horizontal="center" vertical="center" wrapText="1"/>
    </xf>
    <xf numFmtId="178" fontId="32" fillId="0" borderId="1" xfId="11" applyNumberFormat="1" applyFont="1" applyFill="1" applyBorder="1" applyAlignment="1">
      <alignment horizontal="center" vertical="center" wrapText="1"/>
    </xf>
    <xf numFmtId="178" fontId="3" fillId="0" borderId="0" xfId="9" applyNumberFormat="1" applyFont="1" applyAlignment="1">
      <alignment horizontal="right"/>
    </xf>
    <xf numFmtId="178" fontId="3" fillId="0" borderId="0" xfId="9" applyNumberFormat="1" applyFont="1" applyAlignment="1">
      <alignment horizontal="right" vertical="center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72" fontId="18" fillId="0" borderId="1" xfId="0" applyNumberFormat="1" applyFont="1" applyFill="1" applyBorder="1"/>
    <xf numFmtId="172" fontId="18" fillId="5" borderId="1" xfId="0" applyNumberFormat="1" applyFont="1" applyFill="1" applyBorder="1"/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2" fillId="5" borderId="1" xfId="12" applyNumberFormat="1" applyFont="1" applyFill="1" applyBorder="1" applyAlignment="1">
      <alignment horizontal="right" vertical="center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1" xfId="12" applyNumberFormat="1" applyFont="1" applyBorder="1" applyAlignment="1">
      <alignment horizontal="right" vertical="center"/>
    </xf>
    <xf numFmtId="166" fontId="3" fillId="3" borderId="1" xfId="12" applyNumberFormat="1" applyFont="1" applyFill="1" applyBorder="1" applyAlignment="1">
      <alignment horizontal="right" vertical="center"/>
    </xf>
    <xf numFmtId="169" fontId="3" fillId="3" borderId="1" xfId="12" applyNumberFormat="1" applyFont="1" applyFill="1" applyBorder="1" applyAlignment="1">
      <alignment horizontal="right" vertical="center"/>
    </xf>
    <xf numFmtId="167" fontId="35" fillId="0" borderId="1" xfId="11" applyNumberFormat="1" applyFont="1" applyBorder="1" applyAlignment="1">
      <alignment horizontal="right" vertical="center"/>
    </xf>
    <xf numFmtId="167" fontId="3" fillId="5" borderId="1" xfId="12" applyNumberFormat="1" applyFont="1" applyFill="1" applyBorder="1" applyAlignment="1">
      <alignment horizontal="right" vertical="center"/>
    </xf>
    <xf numFmtId="167" fontId="3" fillId="5" borderId="1" xfId="1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topLeftCell="A23" zoomScale="80" zoomScaleNormal="80" zoomScaleSheetLayoutView="80" workbookViewId="0">
      <selection activeCell="J4" sqref="J4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13" t="s">
        <v>360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123"/>
      <c r="M1" s="123"/>
      <c r="N1" s="123"/>
      <c r="O1" s="123"/>
    </row>
    <row r="2" spans="1:15" ht="33.75" customHeight="1">
      <c r="A2" s="411" t="s">
        <v>181</v>
      </c>
      <c r="B2" s="412" t="s">
        <v>182</v>
      </c>
      <c r="C2" s="408" t="s">
        <v>183</v>
      </c>
      <c r="D2" s="409"/>
      <c r="E2" s="409"/>
      <c r="F2" s="408" t="s">
        <v>184</v>
      </c>
      <c r="G2" s="409"/>
      <c r="H2" s="409"/>
      <c r="I2" s="408" t="s">
        <v>185</v>
      </c>
      <c r="J2" s="409"/>
      <c r="K2" s="414"/>
    </row>
    <row r="3" spans="1:15" ht="53.25" customHeight="1">
      <c r="A3" s="411"/>
      <c r="B3" s="412"/>
      <c r="C3" s="78" t="s">
        <v>347</v>
      </c>
      <c r="D3" s="78" t="s">
        <v>361</v>
      </c>
      <c r="E3" s="138" t="s">
        <v>332</v>
      </c>
      <c r="F3" s="78" t="s">
        <v>347</v>
      </c>
      <c r="G3" s="78" t="s">
        <v>361</v>
      </c>
      <c r="H3" s="138" t="s">
        <v>332</v>
      </c>
      <c r="I3" s="78" t="s">
        <v>347</v>
      </c>
      <c r="J3" s="78" t="s">
        <v>361</v>
      </c>
      <c r="K3" s="78" t="s">
        <v>332</v>
      </c>
    </row>
    <row r="4" spans="1:15" s="80" customFormat="1" ht="30.75" customHeight="1">
      <c r="A4" s="79" t="s">
        <v>5</v>
      </c>
      <c r="B4" s="76"/>
      <c r="C4" s="310">
        <f>SUM(C5:C13)</f>
        <v>160140.342</v>
      </c>
      <c r="D4" s="310">
        <f>SUM(D5:D13)</f>
        <v>68424.184020000015</v>
      </c>
      <c r="E4" s="310">
        <f>D4/C4*100</f>
        <v>42.727636999801092</v>
      </c>
      <c r="F4" s="310">
        <f>SUM(F5:F13)</f>
        <v>125924</v>
      </c>
      <c r="G4" s="310">
        <f>SUM(G5:G13)</f>
        <v>58478.558579999997</v>
      </c>
      <c r="H4" s="310">
        <f>G4/F4*100</f>
        <v>46.439565595120861</v>
      </c>
      <c r="I4" s="310">
        <f>I5+I7+I6+I8+I10+I11+I12+I13</f>
        <v>34216.342000000004</v>
      </c>
      <c r="J4" s="310">
        <f>J5+J6+J7+J8+J10+J11+J12+J13</f>
        <v>9945.6254399999998</v>
      </c>
      <c r="K4" s="310">
        <f>J4/I4*100</f>
        <v>29.066886927889602</v>
      </c>
    </row>
    <row r="5" spans="1:15" ht="27" customHeight="1">
      <c r="A5" s="81" t="s">
        <v>186</v>
      </c>
      <c r="B5" s="77">
        <v>10102</v>
      </c>
      <c r="C5" s="311">
        <f t="shared" ref="C5:D8" si="0">F5+I5</f>
        <v>109796.9</v>
      </c>
      <c r="D5" s="311">
        <f t="shared" si="0"/>
        <v>50711.859759999999</v>
      </c>
      <c r="E5" s="312">
        <f t="shared" ref="E5:E12" si="1">D5/C5*100</f>
        <v>46.186968630261873</v>
      </c>
      <c r="F5" s="311">
        <f>район!C5</f>
        <v>104690</v>
      </c>
      <c r="G5" s="311">
        <f>район!D5</f>
        <v>48356.804700000001</v>
      </c>
      <c r="H5" s="312">
        <f t="shared" ref="H5:H41" si="2">G5/F5*100</f>
        <v>46.190471582768176</v>
      </c>
      <c r="I5" s="311">
        <f>Справка!I31</f>
        <v>5106.9000000000005</v>
      </c>
      <c r="J5" s="311">
        <f>Справка!J31</f>
        <v>2355.0550600000001</v>
      </c>
      <c r="K5" s="312">
        <f t="shared" ref="K5:K12" si="3">J5/I5*100</f>
        <v>46.115159098474614</v>
      </c>
    </row>
    <row r="6" spans="1:15" ht="41.25" customHeight="1">
      <c r="A6" s="81" t="s">
        <v>284</v>
      </c>
      <c r="B6" s="77">
        <v>10300</v>
      </c>
      <c r="C6" s="311">
        <f t="shared" si="0"/>
        <v>12424.7</v>
      </c>
      <c r="D6" s="311">
        <f t="shared" si="0"/>
        <v>6005.3163499999991</v>
      </c>
      <c r="E6" s="312">
        <f t="shared" si="1"/>
        <v>48.333692966429766</v>
      </c>
      <c r="F6" s="311">
        <f>район!C7</f>
        <v>4367.8600000000006</v>
      </c>
      <c r="G6" s="311">
        <f>район!D7</f>
        <v>2111.1472199999998</v>
      </c>
      <c r="H6" s="312">
        <f t="shared" si="2"/>
        <v>48.333674156222948</v>
      </c>
      <c r="I6" s="311">
        <f>Справка!L31+Справка!R31+Справка!O31</f>
        <v>8056.84</v>
      </c>
      <c r="J6" s="311">
        <f>Справка!M31+Справка!S31+Справка!P31+Справка!V31</f>
        <v>3894.1691299999993</v>
      </c>
      <c r="K6" s="312">
        <f t="shared" si="3"/>
        <v>48.333703164019632</v>
      </c>
    </row>
    <row r="7" spans="1:15" ht="19.5" customHeight="1">
      <c r="A7" s="81" t="s">
        <v>187</v>
      </c>
      <c r="B7" s="77">
        <v>10500</v>
      </c>
      <c r="C7" s="311">
        <f t="shared" si="0"/>
        <v>12732</v>
      </c>
      <c r="D7" s="311">
        <f t="shared" si="0"/>
        <v>6759.5771000000004</v>
      </c>
      <c r="E7" s="312">
        <f t="shared" si="1"/>
        <v>53.091243323908266</v>
      </c>
      <c r="F7" s="311">
        <f>район!C12</f>
        <v>12352</v>
      </c>
      <c r="G7" s="311">
        <f>район!D12</f>
        <v>6379.3686100000004</v>
      </c>
      <c r="H7" s="312">
        <f t="shared" si="2"/>
        <v>51.646442762305696</v>
      </c>
      <c r="I7" s="311">
        <f>Справка!X31</f>
        <v>380</v>
      </c>
      <c r="J7" s="311">
        <f>Справка!Y31</f>
        <v>380.20848999999998</v>
      </c>
      <c r="K7" s="312">
        <f t="shared" si="3"/>
        <v>100.05486578947369</v>
      </c>
    </row>
    <row r="8" spans="1:15" ht="19.5" customHeight="1">
      <c r="A8" s="81" t="s">
        <v>188</v>
      </c>
      <c r="B8" s="77">
        <v>10601</v>
      </c>
      <c r="C8" s="311">
        <f t="shared" si="0"/>
        <v>2833.4</v>
      </c>
      <c r="D8" s="311">
        <f t="shared" si="0"/>
        <v>212.96161999999998</v>
      </c>
      <c r="E8" s="312">
        <f t="shared" si="1"/>
        <v>7.5161156208089217</v>
      </c>
      <c r="F8" s="311"/>
      <c r="G8" s="311"/>
      <c r="H8" s="312"/>
      <c r="I8" s="311">
        <f>Справка!AA31</f>
        <v>2833.4</v>
      </c>
      <c r="J8" s="311">
        <f>Справка!AB31</f>
        <v>212.96161999999998</v>
      </c>
      <c r="K8" s="312">
        <f t="shared" si="3"/>
        <v>7.5161156208089217</v>
      </c>
    </row>
    <row r="9" spans="1:15" ht="19.5" customHeight="1">
      <c r="A9" s="81" t="s">
        <v>285</v>
      </c>
      <c r="B9" s="77">
        <v>10604</v>
      </c>
      <c r="C9" s="311">
        <f>F9</f>
        <v>1915</v>
      </c>
      <c r="D9" s="311">
        <f>G9</f>
        <v>294.55542000000003</v>
      </c>
      <c r="E9" s="312">
        <f t="shared" si="1"/>
        <v>15.381484073107051</v>
      </c>
      <c r="F9" s="311">
        <f>район!C16</f>
        <v>1915</v>
      </c>
      <c r="G9" s="311">
        <f>район!D19</f>
        <v>294.55542000000003</v>
      </c>
      <c r="H9" s="312">
        <f t="shared" si="2"/>
        <v>15.381484073107051</v>
      </c>
      <c r="I9" s="311"/>
      <c r="J9" s="311"/>
      <c r="K9" s="312"/>
    </row>
    <row r="10" spans="1:15" ht="19.5" customHeight="1">
      <c r="A10" s="81" t="s">
        <v>189</v>
      </c>
      <c r="B10" s="77">
        <v>10606</v>
      </c>
      <c r="C10" s="311">
        <f t="shared" ref="C10:D13" si="4">F10+I10</f>
        <v>17689.2</v>
      </c>
      <c r="D10" s="311">
        <f t="shared" si="4"/>
        <v>3015.3979300000005</v>
      </c>
      <c r="E10" s="312">
        <f t="shared" si="1"/>
        <v>17.046547780566677</v>
      </c>
      <c r="F10" s="311"/>
      <c r="G10" s="311"/>
      <c r="H10" s="312">
        <v>0</v>
      </c>
      <c r="I10" s="311">
        <f>Справка!AD31</f>
        <v>17689.2</v>
      </c>
      <c r="J10" s="311">
        <f>Справка!AE31</f>
        <v>3015.3979300000005</v>
      </c>
      <c r="K10" s="312">
        <f t="shared" si="3"/>
        <v>17.046547780566677</v>
      </c>
    </row>
    <row r="11" spans="1:15" ht="33.75" customHeight="1">
      <c r="A11" s="81" t="s">
        <v>190</v>
      </c>
      <c r="B11" s="77">
        <v>10701</v>
      </c>
      <c r="C11" s="311">
        <f t="shared" si="4"/>
        <v>399.14</v>
      </c>
      <c r="D11" s="311">
        <f t="shared" si="4"/>
        <v>9.9229999999999999E-2</v>
      </c>
      <c r="E11" s="312">
        <f t="shared" si="1"/>
        <v>2.4860951044746202E-2</v>
      </c>
      <c r="F11" s="311">
        <f>район!C21</f>
        <v>399.14</v>
      </c>
      <c r="G11" s="311">
        <f>район!D21</f>
        <v>9.9229999999999999E-2</v>
      </c>
      <c r="H11" s="312">
        <f t="shared" si="2"/>
        <v>2.4860951044746202E-2</v>
      </c>
      <c r="I11" s="311"/>
      <c r="J11" s="311"/>
      <c r="K11" s="312">
        <v>0</v>
      </c>
    </row>
    <row r="12" spans="1:15" ht="19.5" customHeight="1">
      <c r="A12" s="81" t="s">
        <v>191</v>
      </c>
      <c r="B12" s="77">
        <v>10800</v>
      </c>
      <c r="C12" s="311">
        <f t="shared" si="4"/>
        <v>2350.002</v>
      </c>
      <c r="D12" s="311">
        <f t="shared" si="4"/>
        <v>1424.41661</v>
      </c>
      <c r="E12" s="312">
        <f t="shared" si="1"/>
        <v>60.613421180067085</v>
      </c>
      <c r="F12" s="311">
        <f>район!C23</f>
        <v>2200</v>
      </c>
      <c r="G12" s="311">
        <f>район!D23</f>
        <v>1336.5834</v>
      </c>
      <c r="H12" s="312">
        <f t="shared" si="2"/>
        <v>60.75379090909091</v>
      </c>
      <c r="I12" s="311">
        <f>Справка!AG31</f>
        <v>150.00200000000001</v>
      </c>
      <c r="J12" s="311">
        <f>Справка!AH31</f>
        <v>87.833210000000008</v>
      </c>
      <c r="K12" s="312">
        <f t="shared" si="3"/>
        <v>58.554692604098612</v>
      </c>
    </row>
    <row r="13" spans="1:15" ht="19.5" customHeight="1">
      <c r="A13" s="81" t="s">
        <v>192</v>
      </c>
      <c r="B13" s="77">
        <v>10900</v>
      </c>
      <c r="C13" s="311">
        <f t="shared" si="4"/>
        <v>0</v>
      </c>
      <c r="D13" s="311">
        <f t="shared" si="4"/>
        <v>0</v>
      </c>
      <c r="E13" s="312"/>
      <c r="F13" s="311">
        <f>район!C27</f>
        <v>0</v>
      </c>
      <c r="G13" s="311">
        <f>район!D27</f>
        <v>0</v>
      </c>
      <c r="H13" s="312"/>
      <c r="I13" s="311">
        <f>Справка!AJ31</f>
        <v>0</v>
      </c>
      <c r="J13" s="311">
        <f>Справка!AK31</f>
        <v>0</v>
      </c>
      <c r="K13" s="312"/>
    </row>
    <row r="14" spans="1:15" s="80" customFormat="1" ht="27" customHeight="1">
      <c r="A14" s="79" t="s">
        <v>13</v>
      </c>
      <c r="B14" s="76"/>
      <c r="C14" s="310">
        <f>SUM(C15:C21)</f>
        <v>29647.399999999998</v>
      </c>
      <c r="D14" s="310">
        <f>SUM(D15:D21)</f>
        <v>15570.130940000001</v>
      </c>
      <c r="E14" s="310">
        <f t="shared" ref="E14:E39" si="5">D14/C14*100</f>
        <v>52.517694435262463</v>
      </c>
      <c r="F14" s="310">
        <f>F15+F16+F17+F18+F20+F21+F19</f>
        <v>26680.1</v>
      </c>
      <c r="G14" s="310">
        <f>G15+G16+G17+G18+G20+G21+G19</f>
        <v>14291.145640000001</v>
      </c>
      <c r="H14" s="310">
        <f t="shared" si="2"/>
        <v>53.564812875513965</v>
      </c>
      <c r="I14" s="313">
        <f>I15+I16+I17+I18+I20+I21+I26</f>
        <v>2967.3</v>
      </c>
      <c r="J14" s="313">
        <f>J15+J16+J17+J18+J20+J21+J26</f>
        <v>1278.9853000000001</v>
      </c>
      <c r="K14" s="310">
        <f>J14/I14*100</f>
        <v>43.102662352980822</v>
      </c>
    </row>
    <row r="15" spans="1:15" ht="52.5" customHeight="1">
      <c r="A15" s="81" t="s">
        <v>193</v>
      </c>
      <c r="B15" s="77">
        <v>11100</v>
      </c>
      <c r="C15" s="311">
        <f t="shared" ref="C15:D22" si="6">F15+I15</f>
        <v>11357.599999999999</v>
      </c>
      <c r="D15" s="311">
        <f t="shared" si="6"/>
        <v>5738.1871900000006</v>
      </c>
      <c r="E15" s="311">
        <f t="shared" si="5"/>
        <v>50.522885028527163</v>
      </c>
      <c r="F15" s="311">
        <f>район!C33</f>
        <v>9536.2999999999993</v>
      </c>
      <c r="G15" s="311">
        <f>район!D33</f>
        <v>5510.7017300000007</v>
      </c>
      <c r="H15" s="311">
        <f t="shared" si="2"/>
        <v>57.786581063934662</v>
      </c>
      <c r="I15" s="311">
        <f>Справка!AP31+Справка!AS31+Справка!AM31</f>
        <v>1821.3</v>
      </c>
      <c r="J15" s="311">
        <f>Справка!AQ31+Справка!AT31+Справка!AN31</f>
        <v>227.48545999999999</v>
      </c>
      <c r="K15" s="312">
        <f>J15/I15*100</f>
        <v>12.490279470707735</v>
      </c>
    </row>
    <row r="16" spans="1:15" ht="33" customHeight="1">
      <c r="A16" s="81" t="s">
        <v>194</v>
      </c>
      <c r="B16" s="77">
        <v>11200</v>
      </c>
      <c r="C16" s="311">
        <f t="shared" si="6"/>
        <v>490</v>
      </c>
      <c r="D16" s="311">
        <f t="shared" si="6"/>
        <v>491.14828999999997</v>
      </c>
      <c r="E16" s="311">
        <f t="shared" si="5"/>
        <v>100.23434489795918</v>
      </c>
      <c r="F16" s="311">
        <f>район!C41</f>
        <v>490</v>
      </c>
      <c r="G16" s="311">
        <f>район!D41</f>
        <v>491.14828999999997</v>
      </c>
      <c r="H16" s="311">
        <f t="shared" si="2"/>
        <v>100.23434489795918</v>
      </c>
      <c r="I16" s="311">
        <v>0</v>
      </c>
      <c r="J16" s="311">
        <v>0</v>
      </c>
      <c r="K16" s="312">
        <v>0</v>
      </c>
    </row>
    <row r="17" spans="1:13" ht="33" customHeight="1">
      <c r="A17" s="81" t="s">
        <v>195</v>
      </c>
      <c r="B17" s="77">
        <v>11300</v>
      </c>
      <c r="C17" s="311">
        <f t="shared" si="6"/>
        <v>1019</v>
      </c>
      <c r="D17" s="311">
        <f t="shared" si="6"/>
        <v>705.00611000000004</v>
      </c>
      <c r="E17" s="311">
        <f>D17/C17*100</f>
        <v>69.18607556427871</v>
      </c>
      <c r="F17" s="311">
        <f>район!C43</f>
        <v>459</v>
      </c>
      <c r="G17" s="311">
        <f>район!D43</f>
        <v>179.50745000000001</v>
      </c>
      <c r="H17" s="311">
        <f t="shared" si="2"/>
        <v>39.108376906318085</v>
      </c>
      <c r="I17" s="311">
        <f>Справка!AY31</f>
        <v>560</v>
      </c>
      <c r="J17" s="311">
        <f>Справка!AZ31</f>
        <v>525.49865999999997</v>
      </c>
      <c r="K17" s="312">
        <f>J17/I17*100</f>
        <v>93.839046428571422</v>
      </c>
    </row>
    <row r="18" spans="1:13" ht="33" customHeight="1">
      <c r="A18" s="81" t="s">
        <v>196</v>
      </c>
      <c r="B18" s="77">
        <v>11400</v>
      </c>
      <c r="C18" s="311">
        <f t="shared" si="6"/>
        <v>7268.8</v>
      </c>
      <c r="D18" s="311">
        <f t="shared" si="6"/>
        <v>1738.2421400000001</v>
      </c>
      <c r="E18" s="311">
        <f t="shared" si="5"/>
        <v>23.913742846136916</v>
      </c>
      <c r="F18" s="311">
        <f>район!C46</f>
        <v>6682.8</v>
      </c>
      <c r="G18" s="311">
        <f>район!D46</f>
        <v>1147.04214</v>
      </c>
      <c r="H18" s="311">
        <f t="shared" si="2"/>
        <v>17.1640949901239</v>
      </c>
      <c r="I18" s="311">
        <f>Справка!BE31</f>
        <v>586</v>
      </c>
      <c r="J18" s="311">
        <f>Справка!BF31</f>
        <v>591.20000000000005</v>
      </c>
      <c r="K18" s="312">
        <f>J18/I18*100</f>
        <v>100.88737201365188</v>
      </c>
    </row>
    <row r="19" spans="1:13" ht="23.25" customHeight="1">
      <c r="A19" s="81" t="s">
        <v>251</v>
      </c>
      <c r="B19" s="77">
        <v>11500</v>
      </c>
      <c r="C19" s="311">
        <f t="shared" si="6"/>
        <v>0</v>
      </c>
      <c r="D19" s="311">
        <f t="shared" si="6"/>
        <v>0</v>
      </c>
      <c r="E19" s="311"/>
      <c r="F19" s="311">
        <f>район!C49</f>
        <v>0</v>
      </c>
      <c r="G19" s="311">
        <f>район!D49</f>
        <v>0</v>
      </c>
      <c r="H19" s="311"/>
      <c r="I19" s="311"/>
      <c r="J19" s="311"/>
      <c r="K19" s="312"/>
    </row>
    <row r="20" spans="1:13" ht="22.5" customHeight="1">
      <c r="A20" s="81" t="s">
        <v>197</v>
      </c>
      <c r="B20" s="77">
        <v>11600</v>
      </c>
      <c r="C20" s="311">
        <f t="shared" si="6"/>
        <v>9512</v>
      </c>
      <c r="D20" s="311">
        <f t="shared" si="6"/>
        <v>6962.7548200000001</v>
      </c>
      <c r="E20" s="311">
        <f t="shared" si="5"/>
        <v>73.199693229604719</v>
      </c>
      <c r="F20" s="311">
        <f>район!C51</f>
        <v>9512</v>
      </c>
      <c r="G20" s="311">
        <f>район!D51</f>
        <v>6962.7460300000002</v>
      </c>
      <c r="H20" s="311">
        <f t="shared" si="2"/>
        <v>73.199600820016826</v>
      </c>
      <c r="I20" s="311">
        <f>Справка!BN31</f>
        <v>0</v>
      </c>
      <c r="J20" s="311">
        <f>Справка!BO31</f>
        <v>8.7899999999999992E-3</v>
      </c>
      <c r="K20" s="312">
        <v>0</v>
      </c>
    </row>
    <row r="21" spans="1:13" ht="31.5" customHeight="1">
      <c r="A21" s="81" t="s">
        <v>198</v>
      </c>
      <c r="B21" s="77">
        <v>11700</v>
      </c>
      <c r="C21" s="311">
        <f t="shared" si="6"/>
        <v>0</v>
      </c>
      <c r="D21" s="311">
        <f t="shared" si="6"/>
        <v>-65.207610000000003</v>
      </c>
      <c r="E21" s="311"/>
      <c r="F21" s="311">
        <f>район!C68</f>
        <v>0</v>
      </c>
      <c r="G21" s="311">
        <f>район!D68</f>
        <v>0</v>
      </c>
      <c r="H21" s="311"/>
      <c r="I21" s="311">
        <f>Справка!BQ31</f>
        <v>0</v>
      </c>
      <c r="J21" s="311">
        <f>Справка!BR31</f>
        <v>-65.207610000000003</v>
      </c>
      <c r="K21" s="312">
        <v>0</v>
      </c>
    </row>
    <row r="22" spans="1:13" ht="45.75" hidden="1" customHeight="1">
      <c r="A22" s="79" t="s">
        <v>199</v>
      </c>
      <c r="B22" s="76">
        <v>30000</v>
      </c>
      <c r="C22" s="310">
        <f t="shared" si="6"/>
        <v>0</v>
      </c>
      <c r="D22" s="310">
        <f t="shared" si="6"/>
        <v>0</v>
      </c>
      <c r="E22" s="310"/>
      <c r="F22" s="310">
        <v>0</v>
      </c>
      <c r="G22" s="310">
        <v>0</v>
      </c>
      <c r="H22" s="310"/>
      <c r="I22" s="310">
        <v>0</v>
      </c>
      <c r="J22" s="310">
        <v>0</v>
      </c>
      <c r="K22" s="310"/>
    </row>
    <row r="23" spans="1:13" ht="36.75" customHeight="1">
      <c r="A23" s="79" t="s">
        <v>19</v>
      </c>
      <c r="B23" s="76">
        <v>10000</v>
      </c>
      <c r="C23" s="313">
        <f>SUM(C4,C14,C22,)</f>
        <v>189787.742</v>
      </c>
      <c r="D23" s="313">
        <f>SUM(D4,D14,)</f>
        <v>83994.314960000018</v>
      </c>
      <c r="E23" s="310">
        <f t="shared" si="5"/>
        <v>44.256975753470954</v>
      </c>
      <c r="F23" s="313">
        <f>SUM(F4,F14,)</f>
        <v>152604.1</v>
      </c>
      <c r="G23" s="314">
        <f>SUM(G4,G14,G22)</f>
        <v>72769.70422</v>
      </c>
      <c r="H23" s="310">
        <f t="shared" si="2"/>
        <v>47.685287760944824</v>
      </c>
      <c r="I23" s="313">
        <f>I4+I14</f>
        <v>37183.642000000007</v>
      </c>
      <c r="J23" s="313">
        <f>J4+J14</f>
        <v>11224.61074</v>
      </c>
      <c r="K23" s="310">
        <f>J23/I23*100</f>
        <v>30.186958932102449</v>
      </c>
    </row>
    <row r="24" spans="1:13" ht="33" customHeight="1">
      <c r="A24" s="79" t="s">
        <v>200</v>
      </c>
      <c r="B24" s="76">
        <v>20200</v>
      </c>
      <c r="C24" s="315">
        <v>567173.59115999995</v>
      </c>
      <c r="D24" s="315">
        <v>217384.21599999999</v>
      </c>
      <c r="E24" s="313">
        <f t="shared" si="5"/>
        <v>38.327633618377654</v>
      </c>
      <c r="F24" s="313">
        <f>район!C72</f>
        <v>585907.12115999998</v>
      </c>
      <c r="G24" s="313">
        <f>район!D72</f>
        <v>227336.60759</v>
      </c>
      <c r="H24" s="310">
        <f t="shared" si="2"/>
        <v>38.800792716072614</v>
      </c>
      <c r="I24" s="313">
        <f>Справка!BZ31</f>
        <v>64116.687390000006</v>
      </c>
      <c r="J24" s="313">
        <f>Справка!CA31</f>
        <v>24547.518650000002</v>
      </c>
      <c r="K24" s="310">
        <f t="shared" ref="K24:K38" si="7">J24/I24*100</f>
        <v>38.285693864197626</v>
      </c>
    </row>
    <row r="25" spans="1:13" ht="33" customHeight="1">
      <c r="A25" s="79" t="s">
        <v>303</v>
      </c>
      <c r="B25" s="76">
        <v>20700</v>
      </c>
      <c r="C25" s="316">
        <f>F25+I25</f>
        <v>3187.7709999999993</v>
      </c>
      <c r="D25" s="316">
        <f>G25+J25</f>
        <v>2898.5408899999998</v>
      </c>
      <c r="E25" s="313">
        <f t="shared" si="5"/>
        <v>90.926885588707606</v>
      </c>
      <c r="F25" s="313"/>
      <c r="G25" s="313"/>
      <c r="H25" s="310"/>
      <c r="I25" s="313">
        <f>Справка!CR31</f>
        <v>3187.7709999999993</v>
      </c>
      <c r="J25" s="313">
        <f>Справка!CS31</f>
        <v>2898.5408899999998</v>
      </c>
      <c r="K25" s="310">
        <f t="shared" si="7"/>
        <v>90.926885588707606</v>
      </c>
    </row>
    <row r="26" spans="1:13" ht="33" customHeight="1">
      <c r="A26" s="79" t="s">
        <v>263</v>
      </c>
      <c r="B26" s="77">
        <v>21900</v>
      </c>
      <c r="C26" s="316">
        <f>F26+I26</f>
        <v>-4.22</v>
      </c>
      <c r="D26" s="316">
        <f>G26+J26</f>
        <v>-369.02165000000002</v>
      </c>
      <c r="E26" s="313">
        <f t="shared" si="5"/>
        <v>8744.5888625592434</v>
      </c>
      <c r="F26" s="312">
        <f>район!C80</f>
        <v>-4.22</v>
      </c>
      <c r="G26" s="312">
        <f>район!D80</f>
        <v>-369.02165000000002</v>
      </c>
      <c r="H26" s="310">
        <f t="shared" si="2"/>
        <v>8744.5888625592434</v>
      </c>
      <c r="I26" s="312">
        <v>0</v>
      </c>
      <c r="J26" s="312">
        <v>0</v>
      </c>
      <c r="K26" s="312">
        <v>0</v>
      </c>
      <c r="L26" s="83"/>
    </row>
    <row r="27" spans="1:13" ht="29.25" customHeight="1">
      <c r="A27" s="76" t="s">
        <v>201</v>
      </c>
      <c r="B27" s="76"/>
      <c r="C27" s="318">
        <f>C24+C23+C26+C25</f>
        <v>760144.8841599999</v>
      </c>
      <c r="D27" s="318">
        <f>D24+D23+D26+D25</f>
        <v>303908.0502</v>
      </c>
      <c r="E27" s="318">
        <f t="shared" si="5"/>
        <v>39.98027961943523</v>
      </c>
      <c r="F27" s="318">
        <f>F24+F23</f>
        <v>738511.22115999996</v>
      </c>
      <c r="G27" s="318">
        <f>G24+G23</f>
        <v>300106.31180999998</v>
      </c>
      <c r="H27" s="318">
        <f t="shared" si="2"/>
        <v>40.636662410980662</v>
      </c>
      <c r="I27" s="318">
        <f>I24+I23</f>
        <v>101300.32939000001</v>
      </c>
      <c r="J27" s="318">
        <f>J24+J23</f>
        <v>35772.129390000002</v>
      </c>
      <c r="K27" s="317">
        <f t="shared" si="7"/>
        <v>35.312944790415749</v>
      </c>
      <c r="L27" s="95"/>
      <c r="M27" s="83"/>
    </row>
    <row r="28" spans="1:13" ht="29.25" customHeight="1">
      <c r="A28" s="76" t="s">
        <v>202</v>
      </c>
      <c r="B28" s="76"/>
      <c r="C28" s="318">
        <f>C29+C30+C31+C32+C33+C34+C35+C36+C37+C41+C38+C39+C40</f>
        <v>775637.63062999991</v>
      </c>
      <c r="D28" s="318">
        <f>SUM(D29:D41)</f>
        <v>302497.96283000003</v>
      </c>
      <c r="E28" s="318">
        <f t="shared" si="5"/>
        <v>38.999908060713949</v>
      </c>
      <c r="F28" s="318">
        <f>SUM(F29+F30+F31+F32+F33+F34+F35+F36+F37+F38+F39+F40+F41)</f>
        <v>750046.75104</v>
      </c>
      <c r="G28" s="318">
        <f>SUM(G29:G41)</f>
        <v>299293.77296999999</v>
      </c>
      <c r="H28" s="318">
        <f t="shared" si="2"/>
        <v>39.903349031911034</v>
      </c>
      <c r="I28" s="318">
        <f>I29+I30+I31+I32+I33+I34+I35+I36+I37+I38+I39+I40+I41</f>
        <v>106693.64586</v>
      </c>
      <c r="J28" s="318">
        <f>J29+J30+J31+J32+J33+J34+J35+J36+J37+J38+J39+J40+J41</f>
        <v>35174.580860000002</v>
      </c>
      <c r="K28" s="317">
        <f t="shared" si="7"/>
        <v>32.967831004814443</v>
      </c>
      <c r="L28" s="95"/>
    </row>
    <row r="29" spans="1:13" ht="30.75" customHeight="1">
      <c r="A29" s="81" t="s">
        <v>203</v>
      </c>
      <c r="B29" s="82" t="s">
        <v>30</v>
      </c>
      <c r="C29" s="319">
        <v>60958.662620000003</v>
      </c>
      <c r="D29" s="319">
        <v>27332.69313</v>
      </c>
      <c r="E29" s="320">
        <f t="shared" si="5"/>
        <v>44.838078716366695</v>
      </c>
      <c r="F29" s="311">
        <f>район!C87</f>
        <v>38788.900999999998</v>
      </c>
      <c r="G29" s="320">
        <f>район!D87</f>
        <v>17514.4879</v>
      </c>
      <c r="H29" s="321">
        <f t="shared" si="2"/>
        <v>45.153349150057124</v>
      </c>
      <c r="I29" s="321">
        <f>Справка!DJ31</f>
        <v>22000.961500000001</v>
      </c>
      <c r="J29" s="321">
        <f>Справка!DK31</f>
        <v>9818.2052300000014</v>
      </c>
      <c r="K29" s="321">
        <f t="shared" si="7"/>
        <v>44.626255220709339</v>
      </c>
    </row>
    <row r="30" spans="1:13" ht="30.75" customHeight="1">
      <c r="A30" s="81" t="s">
        <v>204</v>
      </c>
      <c r="B30" s="82" t="s">
        <v>46</v>
      </c>
      <c r="C30" s="316">
        <f>I30</f>
        <v>1781.5</v>
      </c>
      <c r="D30" s="316">
        <f>J30</f>
        <v>786.36878999999999</v>
      </c>
      <c r="E30" s="320">
        <f t="shared" si="5"/>
        <v>44.140824586023015</v>
      </c>
      <c r="F30" s="311">
        <f>район!C95</f>
        <v>1781.5</v>
      </c>
      <c r="G30" s="320">
        <f>район!D95</f>
        <v>882.37</v>
      </c>
      <c r="H30" s="321">
        <f t="shared" si="2"/>
        <v>49.529609879315181</v>
      </c>
      <c r="I30" s="321">
        <f>Справка!DY31</f>
        <v>1781.5</v>
      </c>
      <c r="J30" s="321">
        <f>Справка!DZ31</f>
        <v>786.36878999999999</v>
      </c>
      <c r="K30" s="321">
        <f t="shared" si="7"/>
        <v>44.140824586023015</v>
      </c>
    </row>
    <row r="31" spans="1:13" ht="33" customHeight="1">
      <c r="A31" s="81" t="s">
        <v>205</v>
      </c>
      <c r="B31" s="82" t="s">
        <v>50</v>
      </c>
      <c r="C31" s="319">
        <v>4884.8485000000001</v>
      </c>
      <c r="D31" s="319">
        <v>2404.9962300000002</v>
      </c>
      <c r="E31" s="320">
        <f t="shared" si="5"/>
        <v>49.233793637612308</v>
      </c>
      <c r="F31" s="311">
        <f>район!C97</f>
        <v>4702.1330000000007</v>
      </c>
      <c r="G31" s="320">
        <f>район!D97</f>
        <v>2383.5952299999999</v>
      </c>
      <c r="H31" s="321">
        <f t="shared" si="2"/>
        <v>50.691786684893849</v>
      </c>
      <c r="I31" s="321">
        <f>Справка!EB31</f>
        <v>226.7655</v>
      </c>
      <c r="J31" s="321">
        <f>Справка!EC31</f>
        <v>21.401000000000003</v>
      </c>
      <c r="K31" s="321">
        <f t="shared" si="7"/>
        <v>9.4375026183436219</v>
      </c>
    </row>
    <row r="32" spans="1:13" ht="30" customHeight="1">
      <c r="A32" s="81" t="s">
        <v>206</v>
      </c>
      <c r="B32" s="82" t="s">
        <v>58</v>
      </c>
      <c r="C32" s="319">
        <v>182296.58246999999</v>
      </c>
      <c r="D32" s="319">
        <v>19191.317470000002</v>
      </c>
      <c r="E32" s="320">
        <f t="shared" si="5"/>
        <v>10.527524548167687</v>
      </c>
      <c r="F32" s="311">
        <f>район!C103</f>
        <v>163665.899</v>
      </c>
      <c r="G32" s="320">
        <f>район!D103</f>
        <v>13642.787249999999</v>
      </c>
      <c r="H32" s="321">
        <f t="shared" si="2"/>
        <v>8.3357543222855472</v>
      </c>
      <c r="I32" s="321">
        <f>Справка!EE31</f>
        <v>34917.544470000001</v>
      </c>
      <c r="J32" s="321">
        <f>Справка!EF31</f>
        <v>7142.7572199999995</v>
      </c>
      <c r="K32" s="321">
        <f t="shared" si="7"/>
        <v>20.456069659012879</v>
      </c>
    </row>
    <row r="33" spans="1:12" ht="30" customHeight="1">
      <c r="A33" s="81" t="s">
        <v>207</v>
      </c>
      <c r="B33" s="82" t="s">
        <v>68</v>
      </c>
      <c r="C33" s="319">
        <v>22279.12815</v>
      </c>
      <c r="D33" s="319">
        <v>4928.9943599999997</v>
      </c>
      <c r="E33" s="320">
        <f t="shared" si="5"/>
        <v>22.123820675630881</v>
      </c>
      <c r="F33" s="311">
        <f>район!C108</f>
        <v>9362.2081500000004</v>
      </c>
      <c r="G33" s="320">
        <f>район!D108</f>
        <v>220.40289000000001</v>
      </c>
      <c r="H33" s="321">
        <f t="shared" si="2"/>
        <v>2.354176348877695</v>
      </c>
      <c r="I33" s="321">
        <f>Справка!EH31</f>
        <v>18602.026389999999</v>
      </c>
      <c r="J33" s="321">
        <f>Справка!EI31</f>
        <v>4708.5914700000012</v>
      </c>
      <c r="K33" s="321">
        <f t="shared" si="7"/>
        <v>25.312250242431794</v>
      </c>
    </row>
    <row r="34" spans="1:12" ht="30" customHeight="1">
      <c r="A34" s="81" t="s">
        <v>208</v>
      </c>
      <c r="B34" s="82" t="s">
        <v>76</v>
      </c>
      <c r="C34" s="316">
        <f>F34</f>
        <v>51</v>
      </c>
      <c r="D34" s="316">
        <f>G34</f>
        <v>51</v>
      </c>
      <c r="E34" s="320">
        <f t="shared" si="5"/>
        <v>100</v>
      </c>
      <c r="F34" s="311">
        <f>район!C112</f>
        <v>51</v>
      </c>
      <c r="G34" s="320">
        <f>район!D112</f>
        <v>51</v>
      </c>
      <c r="H34" s="321">
        <f t="shared" si="2"/>
        <v>100</v>
      </c>
      <c r="I34" s="320"/>
      <c r="J34" s="320"/>
      <c r="K34" s="321">
        <v>0</v>
      </c>
    </row>
    <row r="35" spans="1:12" ht="30" customHeight="1">
      <c r="A35" s="81" t="s">
        <v>209</v>
      </c>
      <c r="B35" s="82" t="s">
        <v>80</v>
      </c>
      <c r="C35" s="316">
        <f>F35</f>
        <v>414639.25238999998</v>
      </c>
      <c r="D35" s="316">
        <f>G35</f>
        <v>215464.32412000003</v>
      </c>
      <c r="E35" s="320">
        <f t="shared" si="5"/>
        <v>51.964285310195216</v>
      </c>
      <c r="F35" s="311">
        <f>район!C114</f>
        <v>414639.25238999998</v>
      </c>
      <c r="G35" s="320">
        <f>район!D114</f>
        <v>215464.32412000003</v>
      </c>
      <c r="H35" s="321">
        <f t="shared" si="2"/>
        <v>51.964285310195216</v>
      </c>
      <c r="I35" s="320"/>
      <c r="J35" s="320"/>
      <c r="K35" s="321">
        <v>0</v>
      </c>
    </row>
    <row r="36" spans="1:12" ht="30" customHeight="1">
      <c r="A36" s="81" t="s">
        <v>210</v>
      </c>
      <c r="B36" s="82" t="s">
        <v>86</v>
      </c>
      <c r="C36" s="319">
        <v>51065.796430000002</v>
      </c>
      <c r="D36" s="319">
        <v>23363.11781</v>
      </c>
      <c r="E36" s="320">
        <f t="shared" si="5"/>
        <v>45.751010350001501</v>
      </c>
      <c r="F36" s="311">
        <f>район!C120</f>
        <v>45080.600429999999</v>
      </c>
      <c r="G36" s="320">
        <f>район!D120</f>
        <v>20719.65366</v>
      </c>
      <c r="H36" s="321">
        <f t="shared" si="2"/>
        <v>45.961352471719948</v>
      </c>
      <c r="I36" s="321">
        <f>Справка!EK31</f>
        <v>28924.545999999998</v>
      </c>
      <c r="J36" s="321">
        <f>Справка!EL31</f>
        <v>12597.908149999999</v>
      </c>
      <c r="K36" s="321">
        <f t="shared" si="7"/>
        <v>43.554385088706319</v>
      </c>
      <c r="L36" s="83"/>
    </row>
    <row r="37" spans="1:12" ht="30" customHeight="1">
      <c r="A37" s="81" t="s">
        <v>211</v>
      </c>
      <c r="B37" s="82" t="s">
        <v>212</v>
      </c>
      <c r="C37" s="319">
        <v>31610.215459999999</v>
      </c>
      <c r="D37" s="319">
        <v>5397.9820200000004</v>
      </c>
      <c r="E37" s="320">
        <f t="shared" si="5"/>
        <v>17.076701127933408</v>
      </c>
      <c r="F37" s="311">
        <f>район!C123</f>
        <v>31600.215459999996</v>
      </c>
      <c r="G37" s="320">
        <f>район!D123</f>
        <v>5387.9820200000004</v>
      </c>
      <c r="H37" s="321">
        <f t="shared" si="2"/>
        <v>17.050459756580409</v>
      </c>
      <c r="I37" s="321">
        <f>Справка!EN31</f>
        <v>10</v>
      </c>
      <c r="J37" s="321">
        <f>Справка!EO31</f>
        <v>10</v>
      </c>
      <c r="K37" s="321"/>
    </row>
    <row r="38" spans="1:12" ht="30" customHeight="1">
      <c r="A38" s="81" t="s">
        <v>213</v>
      </c>
      <c r="B38" s="82" t="s">
        <v>95</v>
      </c>
      <c r="C38" s="319">
        <v>5990.6446100000003</v>
      </c>
      <c r="D38" s="319">
        <v>3577.1689000000001</v>
      </c>
      <c r="E38" s="320">
        <f t="shared" si="5"/>
        <v>59.71258742387657</v>
      </c>
      <c r="F38" s="311">
        <f>район!C128</f>
        <v>5760.3426099999997</v>
      </c>
      <c r="G38" s="320">
        <f>район!D128</f>
        <v>3487.8199000000004</v>
      </c>
      <c r="H38" s="321">
        <f t="shared" si="2"/>
        <v>60.548827320533292</v>
      </c>
      <c r="I38" s="321">
        <f>Справка!EQ31</f>
        <v>230.30199999999999</v>
      </c>
      <c r="J38" s="321">
        <f>Справка!ER31</f>
        <v>89.349000000000004</v>
      </c>
      <c r="K38" s="321">
        <f t="shared" si="7"/>
        <v>38.796449878854723</v>
      </c>
    </row>
    <row r="39" spans="1:12" ht="30" customHeight="1">
      <c r="A39" s="81" t="s">
        <v>214</v>
      </c>
      <c r="B39" s="82" t="s">
        <v>107</v>
      </c>
      <c r="C39" s="311">
        <f>F39</f>
        <v>80</v>
      </c>
      <c r="D39" s="322">
        <f>G39</f>
        <v>0</v>
      </c>
      <c r="E39" s="320">
        <f t="shared" si="5"/>
        <v>0</v>
      </c>
      <c r="F39" s="311">
        <f>район!C134</f>
        <v>80</v>
      </c>
      <c r="G39" s="320">
        <f>район!D134</f>
        <v>0</v>
      </c>
      <c r="H39" s="321">
        <f t="shared" si="2"/>
        <v>0</v>
      </c>
      <c r="I39" s="321"/>
      <c r="J39" s="321"/>
      <c r="K39" s="321">
        <v>0</v>
      </c>
    </row>
    <row r="40" spans="1:12" ht="34.5" customHeight="1">
      <c r="A40" s="81" t="s">
        <v>215</v>
      </c>
      <c r="B40" s="82" t="s">
        <v>111</v>
      </c>
      <c r="C40" s="311">
        <f>F40</f>
        <v>0</v>
      </c>
      <c r="D40" s="322">
        <f>G40</f>
        <v>0</v>
      </c>
      <c r="E40" s="320"/>
      <c r="F40" s="311">
        <f>район!C136</f>
        <v>0</v>
      </c>
      <c r="G40" s="320">
        <f>район!D136</f>
        <v>0</v>
      </c>
      <c r="H40" s="321">
        <v>0</v>
      </c>
      <c r="I40" s="321"/>
      <c r="J40" s="323"/>
      <c r="K40" s="321">
        <v>0</v>
      </c>
    </row>
    <row r="41" spans="1:12" ht="30" customHeight="1">
      <c r="A41" s="81" t="s">
        <v>216</v>
      </c>
      <c r="B41" s="82" t="s">
        <v>217</v>
      </c>
      <c r="C41" s="311">
        <v>0</v>
      </c>
      <c r="D41" s="322"/>
      <c r="E41" s="320">
        <v>0</v>
      </c>
      <c r="F41" s="311">
        <f>район!C138</f>
        <v>34534.699000000001</v>
      </c>
      <c r="G41" s="320">
        <f>район!D138</f>
        <v>19539.350000000002</v>
      </c>
      <c r="H41" s="321">
        <f t="shared" si="2"/>
        <v>56.578891855985205</v>
      </c>
      <c r="I41" s="321">
        <f>Справка!ET31</f>
        <v>0</v>
      </c>
      <c r="J41" s="323">
        <f>Справка!EU31</f>
        <v>0</v>
      </c>
      <c r="K41" s="321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-15492.746470000013</v>
      </c>
      <c r="D43" s="139">
        <f>D27-D28</f>
        <v>1410.0873699999647</v>
      </c>
      <c r="E43" s="139"/>
      <c r="F43" s="139">
        <f>F27-F28</f>
        <v>-11535.529880000046</v>
      </c>
      <c r="G43" s="139">
        <f>G27-G28</f>
        <v>812.5388399999938</v>
      </c>
      <c r="H43" s="139"/>
      <c r="I43" s="139">
        <f>I27-I28</f>
        <v>-5393.3164699999907</v>
      </c>
      <c r="J43" s="139">
        <f>J27-J28</f>
        <v>597.54853000000003</v>
      </c>
      <c r="K43" s="139"/>
    </row>
    <row r="44" spans="1:12" hidden="1">
      <c r="A44" s="140"/>
      <c r="B44" s="141"/>
      <c r="C44" s="139">
        <f>C43-F44</f>
        <v>1436.0998800000234</v>
      </c>
      <c r="D44" s="139">
        <f>D43-G44</f>
        <v>-2.9103830456733704E-11</v>
      </c>
      <c r="E44" s="139"/>
      <c r="F44" s="139">
        <f>F43+I43</f>
        <v>-16928.846350000036</v>
      </c>
      <c r="G44" s="139">
        <f>G43+J43</f>
        <v>1410.0873699999938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568925.26227999991</v>
      </c>
      <c r="G45" s="143">
        <f>D28+G44-D23-D26</f>
        <v>220282.75689000005</v>
      </c>
      <c r="H45" s="137"/>
      <c r="I45" s="137"/>
      <c r="J45" s="137"/>
      <c r="K45" s="139"/>
    </row>
    <row r="46" spans="1:12">
      <c r="A46" s="140"/>
      <c r="B46" s="141"/>
      <c r="C46" s="331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10"/>
      <c r="E50" s="410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A54C432C-6C68-4B53-A75C-446EB3A61B2B}" scale="80" showPageBreaks="1" printArea="1" hiddenRows="1" view="pageBreakPreview" topLeftCell="B13">
      <selection activeCell="J15" sqref="J15:J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"/>
    </customSheetView>
    <customSheetView guid="{5BFCA170-DEAE-4D2C-98A0-1E68B427AC01}" scale="80" showPageBreaks="1" printArea="1" hiddenRows="1" view="pageBreakPreview">
      <selection activeCell="D30" sqref="D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3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4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56" orientation="landscape" r:id="rId5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2"/>
  <sheetViews>
    <sheetView view="pageBreakPreview" topLeftCell="A69" zoomScale="70" zoomScaleSheetLayoutView="70" workbookViewId="0">
      <selection activeCell="C98" sqref="C98:D9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0.8554687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373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490.2615199999999</v>
      </c>
      <c r="E4" s="5">
        <f>SUM(D4/C4*100)</f>
        <v>19.49349980119284</v>
      </c>
      <c r="F4" s="5">
        <f>SUM(D4-C4)</f>
        <v>-2024.73848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102.97087000000001</v>
      </c>
      <c r="E5" s="5">
        <f t="shared" ref="E5:E51" si="0">SUM(D5/C5*100)</f>
        <v>39.256908120472737</v>
      </c>
      <c r="F5" s="5">
        <f t="shared" ref="F5:F51" si="1">SUM(D5-C5)</f>
        <v>-159.32913000000002</v>
      </c>
    </row>
    <row r="6" spans="1:6">
      <c r="A6" s="7">
        <v>1010200001</v>
      </c>
      <c r="B6" s="8" t="s">
        <v>229</v>
      </c>
      <c r="C6" s="9">
        <v>262.3</v>
      </c>
      <c r="D6" s="10">
        <v>102.97087000000001</v>
      </c>
      <c r="E6" s="9">
        <f t="shared" ref="E6:E11" si="2">SUM(D6/C6*100)</f>
        <v>39.256908120472737</v>
      </c>
      <c r="F6" s="9">
        <f t="shared" si="1"/>
        <v>-159.32913000000002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204.30454999999998</v>
      </c>
      <c r="E7" s="9">
        <f t="shared" si="2"/>
        <v>48.333226874852137</v>
      </c>
      <c r="F7" s="9">
        <f t="shared" si="1"/>
        <v>-218.39545000000001</v>
      </c>
    </row>
    <row r="8" spans="1:6">
      <c r="A8" s="7">
        <v>1030223001</v>
      </c>
      <c r="B8" s="8" t="s">
        <v>283</v>
      </c>
      <c r="C8" s="9">
        <v>157.66999999999999</v>
      </c>
      <c r="D8" s="10">
        <v>88.541259999999994</v>
      </c>
      <c r="E8" s="9">
        <f t="shared" si="2"/>
        <v>56.156060125578747</v>
      </c>
      <c r="F8" s="9">
        <f t="shared" si="1"/>
        <v>-69.128739999999993</v>
      </c>
    </row>
    <row r="9" spans="1:6">
      <c r="A9" s="7">
        <v>1030224001</v>
      </c>
      <c r="B9" s="8" t="s">
        <v>289</v>
      </c>
      <c r="C9" s="9">
        <v>1.7</v>
      </c>
      <c r="D9" s="10">
        <v>0.67122000000000004</v>
      </c>
      <c r="E9" s="9">
        <f t="shared" si="2"/>
        <v>39.483529411764714</v>
      </c>
      <c r="F9" s="9">
        <f t="shared" si="1"/>
        <v>-1.0287799999999998</v>
      </c>
    </row>
    <row r="10" spans="1:6">
      <c r="A10" s="7">
        <v>1030225001</v>
      </c>
      <c r="B10" s="8" t="s">
        <v>282</v>
      </c>
      <c r="C10" s="9">
        <v>263.33</v>
      </c>
      <c r="D10" s="10">
        <v>133.48831999999999</v>
      </c>
      <c r="E10" s="9">
        <f t="shared" si="2"/>
        <v>50.69240876466791</v>
      </c>
      <c r="F10" s="9">
        <f t="shared" si="1"/>
        <v>-129.84168</v>
      </c>
    </row>
    <row r="11" spans="1:6">
      <c r="A11" s="7">
        <v>1030265001</v>
      </c>
      <c r="B11" s="8" t="s">
        <v>291</v>
      </c>
      <c r="C11" s="9">
        <v>0</v>
      </c>
      <c r="D11" s="10">
        <v>-18.396249999999998</v>
      </c>
      <c r="E11" s="9" t="e">
        <f t="shared" si="2"/>
        <v>#DIV/0!</v>
      </c>
      <c r="F11" s="9">
        <f t="shared" si="1"/>
        <v>-18.396249999999998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35.71604</v>
      </c>
      <c r="E12" s="5">
        <f t="shared" si="0"/>
        <v>89.290099999999995</v>
      </c>
      <c r="F12" s="5">
        <f t="shared" si="1"/>
        <v>-4.2839600000000004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35.71604</v>
      </c>
      <c r="E13" s="9">
        <f t="shared" si="0"/>
        <v>89.290099999999995</v>
      </c>
      <c r="F13" s="9">
        <f t="shared" si="1"/>
        <v>-4.2839600000000004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144.50005999999999</v>
      </c>
      <c r="E14" s="5">
        <f t="shared" si="0"/>
        <v>8.1179808988764037</v>
      </c>
      <c r="F14" s="5">
        <f t="shared" si="1"/>
        <v>-1635.4999399999999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7.8320999999999996</v>
      </c>
      <c r="E15" s="9">
        <f t="shared" si="0"/>
        <v>4.8950624999999999</v>
      </c>
      <c r="F15" s="9">
        <f>SUM(D15-C15)</f>
        <v>-152.1679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136.66795999999999</v>
      </c>
      <c r="E16" s="9">
        <f t="shared" si="0"/>
        <v>8.4362938271604939</v>
      </c>
      <c r="F16" s="9">
        <f t="shared" si="1"/>
        <v>-1483.33204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2.77</v>
      </c>
      <c r="E17" s="5">
        <f t="shared" si="0"/>
        <v>27.700000000000003</v>
      </c>
      <c r="F17" s="5">
        <f t="shared" si="1"/>
        <v>-7.23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2.77</v>
      </c>
      <c r="E18" s="9">
        <f t="shared" si="0"/>
        <v>27.700000000000003</v>
      </c>
      <c r="F18" s="9">
        <f t="shared" si="1"/>
        <v>-7.23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55.886740000000003</v>
      </c>
      <c r="E25" s="5">
        <f t="shared" si="0"/>
        <v>29.83808862786973</v>
      </c>
      <c r="F25" s="5">
        <f t="shared" si="1"/>
        <v>-131.41326000000001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55.988520000000001</v>
      </c>
      <c r="E26" s="5">
        <f t="shared" si="0"/>
        <v>40.778237436270935</v>
      </c>
      <c r="F26" s="5">
        <f t="shared" si="1"/>
        <v>-81.311480000000017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27</v>
      </c>
      <c r="E28" s="9">
        <f t="shared" si="0"/>
        <v>90</v>
      </c>
      <c r="F28" s="9">
        <f t="shared" si="1"/>
        <v>-3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546.14825999999994</v>
      </c>
      <c r="E39" s="5">
        <f t="shared" si="0"/>
        <v>20.210496984050618</v>
      </c>
      <c r="F39" s="5">
        <f t="shared" si="1"/>
        <v>-2156.1517400000002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3190.5639999999999</v>
      </c>
      <c r="D40" s="5">
        <f>D41+D43+D45+D46+D48+D49+D42+D47</f>
        <v>1549.74035</v>
      </c>
      <c r="E40" s="5">
        <f t="shared" si="0"/>
        <v>48.572614434313181</v>
      </c>
      <c r="F40" s="5">
        <f t="shared" si="1"/>
        <v>-1640.8236499999998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826.21400000000006</v>
      </c>
      <c r="E41" s="9">
        <f t="shared" si="0"/>
        <v>60.851523913757575</v>
      </c>
      <c r="F41" s="9">
        <f t="shared" si="1"/>
        <v>-531.53999999999985</v>
      </c>
    </row>
    <row r="42" spans="1:7" ht="17.25" customHeight="1">
      <c r="A42" s="16">
        <v>2021500200</v>
      </c>
      <c r="B42" s="17" t="s">
        <v>232</v>
      </c>
      <c r="C42" s="12">
        <v>320</v>
      </c>
      <c r="D42" s="20">
        <v>160</v>
      </c>
      <c r="E42" s="9">
        <f>SUM(D42/C42*100)</f>
        <v>50</v>
      </c>
      <c r="F42" s="9">
        <f>SUM(D42-C42)</f>
        <v>-160</v>
      </c>
    </row>
    <row r="43" spans="1:7" ht="19.5" customHeight="1">
      <c r="A43" s="16">
        <v>2022000000</v>
      </c>
      <c r="B43" s="17" t="s">
        <v>22</v>
      </c>
      <c r="C43" s="12">
        <v>1047.69</v>
      </c>
      <c r="D43" s="10">
        <v>180</v>
      </c>
      <c r="E43" s="9">
        <f t="shared" si="0"/>
        <v>17.18065458293961</v>
      </c>
      <c r="F43" s="9">
        <f t="shared" si="1"/>
        <v>-867.69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155.91999999999999</v>
      </c>
      <c r="D45" s="252">
        <v>74.343999999999994</v>
      </c>
      <c r="E45" s="9">
        <f t="shared" si="0"/>
        <v>47.680861980502819</v>
      </c>
      <c r="F45" s="9">
        <f t="shared" si="1"/>
        <v>-81.575999999999993</v>
      </c>
    </row>
    <row r="46" spans="1:7" ht="17.2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3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93">
        <f>C39+C40</f>
        <v>5892.8639999999996</v>
      </c>
      <c r="D51" s="401">
        <f>D39+D40</f>
        <v>2095.88861</v>
      </c>
      <c r="E51" s="5">
        <f t="shared" si="0"/>
        <v>35.566553207404752</v>
      </c>
      <c r="F51" s="5">
        <f t="shared" si="1"/>
        <v>-3796.9753899999996</v>
      </c>
      <c r="G51" s="300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167.66962999999987</v>
      </c>
      <c r="E52" s="22"/>
      <c r="F52" s="22"/>
    </row>
    <row r="53" spans="1:7" ht="23.25" customHeight="1">
      <c r="A53" s="23"/>
      <c r="B53" s="24"/>
      <c r="C53" s="243"/>
      <c r="D53" s="243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361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1322.2574999999999</v>
      </c>
      <c r="D56" s="33">
        <f>D57+D58+D59+D60+D61+D63+D62</f>
        <v>521.6489600000001</v>
      </c>
      <c r="E56" s="34">
        <f>SUM(D56/C56*100)</f>
        <v>39.451389763340359</v>
      </c>
      <c r="F56" s="34">
        <f>SUM(D56-C56)</f>
        <v>-800.60853999999983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1313.154</v>
      </c>
      <c r="D58" s="37">
        <v>517.54546000000005</v>
      </c>
      <c r="E58" s="38">
        <f t="shared" ref="E58:E98" si="3">SUM(D58/C58*100)</f>
        <v>39.412396413520426</v>
      </c>
      <c r="F58" s="38">
        <f t="shared" ref="F58:F98" si="4">SUM(D58-C58)</f>
        <v>-795.60853999999995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4.1035000000000004</v>
      </c>
      <c r="D63" s="37">
        <v>4.1035000000000004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54.724780000000003</v>
      </c>
      <c r="E64" s="34">
        <f t="shared" si="3"/>
        <v>36.270159927359977</v>
      </c>
      <c r="F64" s="34">
        <f t="shared" si="4"/>
        <v>-96.15621999999999</v>
      </c>
    </row>
    <row r="65" spans="1:7">
      <c r="A65" s="43" t="s">
        <v>48</v>
      </c>
      <c r="B65" s="44" t="s">
        <v>49</v>
      </c>
      <c r="C65" s="37">
        <v>150.881</v>
      </c>
      <c r="D65" s="37">
        <v>54.724780000000003</v>
      </c>
      <c r="E65" s="38">
        <f t="shared" si="3"/>
        <v>36.270159927359977</v>
      </c>
      <c r="F65" s="38">
        <f t="shared" si="4"/>
        <v>-96.15621999999999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8.6155000000000008</v>
      </c>
      <c r="D66" s="32">
        <f>D70+D69+D68+D67</f>
        <v>3.5</v>
      </c>
      <c r="E66" s="34">
        <f t="shared" si="3"/>
        <v>40.624455922465316</v>
      </c>
      <c r="F66" s="34">
        <f t="shared" si="4"/>
        <v>-5.1155000000000008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1.9655</v>
      </c>
      <c r="D69" s="37">
        <v>0</v>
      </c>
      <c r="E69" s="38">
        <f t="shared" si="3"/>
        <v>0</v>
      </c>
      <c r="F69" s="38">
        <f t="shared" si="4"/>
        <v>-1.9655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3.5</v>
      </c>
      <c r="E70" s="38">
        <f>SUM(D70/C70*100)</f>
        <v>52.631578947368418</v>
      </c>
      <c r="F70" s="38">
        <f>SUM(D70-C70)</f>
        <v>-3.1500000000000004</v>
      </c>
    </row>
    <row r="71" spans="1:7" s="6" customFormat="1">
      <c r="A71" s="30" t="s">
        <v>58</v>
      </c>
      <c r="B71" s="31" t="s">
        <v>59</v>
      </c>
      <c r="C71" s="48">
        <f>SUM(C72:C75)</f>
        <v>2156.68451</v>
      </c>
      <c r="D71" s="48">
        <f>SUM(D72:D75)</f>
        <v>345.26599999999996</v>
      </c>
      <c r="E71" s="34">
        <f t="shared" si="3"/>
        <v>16.009110205924369</v>
      </c>
      <c r="F71" s="34">
        <f t="shared" si="4"/>
        <v>-1811.41851</v>
      </c>
    </row>
    <row r="72" spans="1:7" ht="17.25" customHeight="1">
      <c r="A72" s="35" t="s">
        <v>60</v>
      </c>
      <c r="B72" s="39" t="s">
        <v>61</v>
      </c>
      <c r="C72" s="49">
        <v>15.189</v>
      </c>
      <c r="D72" s="37">
        <v>0</v>
      </c>
      <c r="E72" s="38">
        <f t="shared" si="3"/>
        <v>0</v>
      </c>
      <c r="F72" s="38">
        <f t="shared" si="4"/>
        <v>-15.189</v>
      </c>
    </row>
    <row r="73" spans="1:7" s="6" customFormat="1" ht="17.25" customHeight="1">
      <c r="A73" s="35" t="s">
        <v>62</v>
      </c>
      <c r="B73" s="39" t="s">
        <v>63</v>
      </c>
      <c r="C73" s="49">
        <v>132.322</v>
      </c>
      <c r="D73" s="37">
        <v>42.866</v>
      </c>
      <c r="E73" s="38">
        <f t="shared" si="3"/>
        <v>32.395217726455158</v>
      </c>
      <c r="F73" s="38">
        <f t="shared" si="4"/>
        <v>-89.456000000000003</v>
      </c>
      <c r="G73" s="50"/>
    </row>
    <row r="74" spans="1:7">
      <c r="A74" s="35" t="s">
        <v>64</v>
      </c>
      <c r="B74" s="39" t="s">
        <v>65</v>
      </c>
      <c r="C74" s="49">
        <v>1829.1735100000001</v>
      </c>
      <c r="D74" s="37">
        <v>300</v>
      </c>
      <c r="E74" s="38">
        <f t="shared" si="3"/>
        <v>16.400849802378779</v>
      </c>
      <c r="F74" s="38">
        <f t="shared" si="4"/>
        <v>-1529.1735100000001</v>
      </c>
    </row>
    <row r="75" spans="1:7">
      <c r="A75" s="35" t="s">
        <v>66</v>
      </c>
      <c r="B75" s="39" t="s">
        <v>67</v>
      </c>
      <c r="C75" s="49">
        <v>180</v>
      </c>
      <c r="D75" s="37">
        <v>2.4</v>
      </c>
      <c r="E75" s="38">
        <f t="shared" si="3"/>
        <v>1.3333333333333333</v>
      </c>
      <c r="F75" s="38">
        <f t="shared" si="4"/>
        <v>-177.6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830.15899999999999</v>
      </c>
      <c r="D76" s="32">
        <f>SUM(D77:D80)</f>
        <v>507.09224</v>
      </c>
      <c r="E76" s="34">
        <f t="shared" si="3"/>
        <v>61.083749016754616</v>
      </c>
      <c r="F76" s="34">
        <f t="shared" si="4"/>
        <v>-323.06675999999999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830.15899999999999</v>
      </c>
      <c r="D79" s="37">
        <v>507.09224</v>
      </c>
      <c r="E79" s="38">
        <f t="shared" si="3"/>
        <v>61.083749016754616</v>
      </c>
      <c r="F79" s="38">
        <f t="shared" si="4"/>
        <v>-323.06675999999999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1534</v>
      </c>
      <c r="D81" s="32">
        <f>SUM(D82)</f>
        <v>495.98700000000002</v>
      </c>
      <c r="E81" s="34">
        <f t="shared" si="3"/>
        <v>32.332920469361149</v>
      </c>
      <c r="F81" s="34">
        <f t="shared" si="4"/>
        <v>-1038.0129999999999</v>
      </c>
    </row>
    <row r="82" spans="1:6" ht="16.5" customHeight="1">
      <c r="A82" s="35" t="s">
        <v>88</v>
      </c>
      <c r="B82" s="39" t="s">
        <v>234</v>
      </c>
      <c r="C82" s="37">
        <v>1534</v>
      </c>
      <c r="D82" s="37">
        <v>495.98700000000002</v>
      </c>
      <c r="E82" s="38">
        <f t="shared" si="3"/>
        <v>32.332920469361149</v>
      </c>
      <c r="F82" s="38">
        <f t="shared" si="4"/>
        <v>-1038.0129999999999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402">
        <f>C56+C64+C66+C71+C76+C81+C83+C88+C94</f>
        <v>6004.5975099999996</v>
      </c>
      <c r="D98" s="402">
        <f>D56+D64+D66+D71+D76+D81+D83+D88+D94</f>
        <v>1928.2189800000001</v>
      </c>
      <c r="E98" s="34">
        <f t="shared" si="3"/>
        <v>32.112376837727467</v>
      </c>
      <c r="F98" s="34">
        <f t="shared" si="4"/>
        <v>-4076.3785299999995</v>
      </c>
    </row>
    <row r="99" spans="1:6" ht="20.25" customHeight="1">
      <c r="C99" s="350"/>
      <c r="D99" s="351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</sheetData>
  <customSheetViews>
    <customSheetView guid="{A54C432C-6C68-4B53-A75C-446EB3A61B2B}" scale="70" showPageBreaks="1" hiddenRows="1" view="pageBreakPreview" topLeftCell="A61">
      <selection activeCell="C98" activeCellId="1" sqref="C51:D52 C98:D9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3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2"/>
  <sheetViews>
    <sheetView view="pageBreakPreview" topLeftCell="C61" zoomScale="70" zoomScaleSheetLayoutView="70" workbookViewId="0">
      <selection activeCell="G98" sqref="G98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9.140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374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557.93916999999999</v>
      </c>
      <c r="E4" s="5">
        <f>SUM(D4/C4*100)</f>
        <v>32.083908568142611</v>
      </c>
      <c r="F4" s="5">
        <f>SUM(D4-C4)</f>
        <v>-1181.0608299999999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60.618810000000003</v>
      </c>
      <c r="E5" s="5">
        <f t="shared" ref="E5:E51" si="0">SUM(D5/C5*100)</f>
        <v>56.076604995374659</v>
      </c>
      <c r="F5" s="5">
        <f t="shared" ref="F5:F51" si="1">SUM(D5-C5)</f>
        <v>-47.481189999999991</v>
      </c>
    </row>
    <row r="6" spans="1:6">
      <c r="A6" s="7">
        <v>1010200001</v>
      </c>
      <c r="B6" s="8" t="s">
        <v>229</v>
      </c>
      <c r="C6" s="9">
        <v>108.1</v>
      </c>
      <c r="D6" s="10">
        <v>60.618810000000003</v>
      </c>
      <c r="E6" s="9">
        <f t="shared" ref="E6:E11" si="2">SUM(D6/C6*100)</f>
        <v>56.076604995374659</v>
      </c>
      <c r="F6" s="9">
        <f t="shared" si="1"/>
        <v>-47.481189999999991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251.76925999999997</v>
      </c>
      <c r="E7" s="9">
        <f t="shared" si="2"/>
        <v>48.333511230562486</v>
      </c>
      <c r="F7" s="9">
        <f t="shared" si="1"/>
        <v>-269.13074</v>
      </c>
    </row>
    <row r="8" spans="1:6">
      <c r="A8" s="7">
        <v>1030223001</v>
      </c>
      <c r="B8" s="8" t="s">
        <v>283</v>
      </c>
      <c r="C8" s="9">
        <v>194.3</v>
      </c>
      <c r="D8" s="10">
        <v>109.11145999999999</v>
      </c>
      <c r="E8" s="9">
        <f t="shared" si="2"/>
        <v>56.156181163149768</v>
      </c>
      <c r="F8" s="9">
        <f t="shared" si="1"/>
        <v>-85.188540000000017</v>
      </c>
    </row>
    <row r="9" spans="1:6">
      <c r="A9" s="7">
        <v>1030224001</v>
      </c>
      <c r="B9" s="8" t="s">
        <v>289</v>
      </c>
      <c r="C9" s="9">
        <v>2.1</v>
      </c>
      <c r="D9" s="10">
        <v>0.82716000000000001</v>
      </c>
      <c r="E9" s="9">
        <f t="shared" si="2"/>
        <v>39.388571428571431</v>
      </c>
      <c r="F9" s="9">
        <f t="shared" si="1"/>
        <v>-1.27284</v>
      </c>
    </row>
    <row r="10" spans="1:6">
      <c r="A10" s="7">
        <v>1030225001</v>
      </c>
      <c r="B10" s="8" t="s">
        <v>282</v>
      </c>
      <c r="C10" s="9">
        <v>324.5</v>
      </c>
      <c r="D10" s="10">
        <v>164.50076000000001</v>
      </c>
      <c r="E10" s="9">
        <f t="shared" si="2"/>
        <v>50.693608628659483</v>
      </c>
      <c r="F10" s="9">
        <f t="shared" si="1"/>
        <v>-159.99923999999999</v>
      </c>
    </row>
    <row r="11" spans="1:6">
      <c r="A11" s="7">
        <v>1030226001</v>
      </c>
      <c r="B11" s="8" t="s">
        <v>291</v>
      </c>
      <c r="C11" s="9">
        <v>0</v>
      </c>
      <c r="D11" s="10">
        <v>-22.670120000000001</v>
      </c>
      <c r="E11" s="9" t="e">
        <f t="shared" si="2"/>
        <v>#DIV/0!</v>
      </c>
      <c r="F11" s="9">
        <f t="shared" si="1"/>
        <v>-22.670120000000001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28.719439999999999</v>
      </c>
      <c r="E12" s="5">
        <f t="shared" si="0"/>
        <v>71.798600000000008</v>
      </c>
      <c r="F12" s="5">
        <f t="shared" si="1"/>
        <v>-11.280560000000001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28.719439999999999</v>
      </c>
      <c r="E13" s="9">
        <f t="shared" si="0"/>
        <v>71.798600000000008</v>
      </c>
      <c r="F13" s="9">
        <f t="shared" si="1"/>
        <v>-11.280560000000001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214.45666000000003</v>
      </c>
      <c r="E14" s="5">
        <f t="shared" si="0"/>
        <v>20.231760377358494</v>
      </c>
      <c r="F14" s="5">
        <f t="shared" si="1"/>
        <v>-845.54333999999994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7.0553800000000004</v>
      </c>
      <c r="E15" s="9">
        <f t="shared" si="0"/>
        <v>5.4272153846153852</v>
      </c>
      <c r="F15" s="9">
        <f>SUM(D15-C15)</f>
        <v>-122.94462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207.40128000000001</v>
      </c>
      <c r="E16" s="9">
        <f t="shared" si="0"/>
        <v>22.30121290322581</v>
      </c>
      <c r="F16" s="9">
        <f t="shared" si="1"/>
        <v>-722.59871999999996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2.375</v>
      </c>
      <c r="E17" s="5">
        <f t="shared" si="0"/>
        <v>23.75</v>
      </c>
      <c r="F17" s="5">
        <f t="shared" si="1"/>
        <v>-7.625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2.375</v>
      </c>
      <c r="E18" s="9">
        <f t="shared" si="0"/>
        <v>23.75</v>
      </c>
      <c r="F18" s="9">
        <f t="shared" si="1"/>
        <v>-7.625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</f>
        <v>166</v>
      </c>
      <c r="D25" s="5">
        <f>D26+D29+D31+D36+D34</f>
        <v>-90.763829999999999</v>
      </c>
      <c r="E25" s="5">
        <f t="shared" si="0"/>
        <v>-54.677006024096386</v>
      </c>
      <c r="F25" s="5">
        <f t="shared" si="1"/>
        <v>-256.76382999999998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3.3868800000000001</v>
      </c>
      <c r="E26" s="5">
        <f t="shared" si="0"/>
        <v>2.040289156626506</v>
      </c>
      <c r="F26" s="5">
        <f t="shared" si="1"/>
        <v>-162.61312000000001</v>
      </c>
    </row>
    <row r="27" spans="1:6">
      <c r="A27" s="16">
        <v>1110502510</v>
      </c>
      <c r="B27" s="17" t="s">
        <v>226</v>
      </c>
      <c r="C27" s="12">
        <v>160</v>
      </c>
      <c r="D27" s="10">
        <v>0</v>
      </c>
      <c r="E27" s="9">
        <f t="shared" si="0"/>
        <v>0</v>
      </c>
      <c r="F27" s="9">
        <f t="shared" si="1"/>
        <v>-160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3.3868800000000001</v>
      </c>
      <c r="E28" s="9">
        <f t="shared" si="0"/>
        <v>56.448</v>
      </c>
      <c r="F28" s="9">
        <f t="shared" si="1"/>
        <v>-2.6131199999999999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0.84928999999999999</v>
      </c>
      <c r="E29" s="5" t="e">
        <f t="shared" si="0"/>
        <v>#DIV/0!</v>
      </c>
      <c r="F29" s="5">
        <f t="shared" si="1"/>
        <v>0.84928999999999999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0.84928999999999999</v>
      </c>
      <c r="E30" s="9" t="e">
        <f t="shared" si="0"/>
        <v>#DIV/0!</v>
      </c>
      <c r="F30" s="9">
        <f t="shared" si="1"/>
        <v>0.84928999999999999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467.17534000000001</v>
      </c>
      <c r="E39" s="5">
        <f t="shared" si="0"/>
        <v>24.523639895013126</v>
      </c>
      <c r="F39" s="5">
        <f t="shared" si="1"/>
        <v>-1437.82466</v>
      </c>
    </row>
    <row r="40" spans="1:7" s="6" customFormat="1">
      <c r="A40" s="3">
        <v>2000000000</v>
      </c>
      <c r="B40" s="4" t="s">
        <v>20</v>
      </c>
      <c r="C40" s="5">
        <f>C41+C42+C43+C44+C48+C49</f>
        <v>4534.1610000000001</v>
      </c>
      <c r="D40" s="5">
        <f>D41+D42+D43+D44+D48+D49+D50</f>
        <v>2036.3820700000001</v>
      </c>
      <c r="E40" s="5">
        <f t="shared" si="0"/>
        <v>44.911992979517052</v>
      </c>
      <c r="F40" s="5">
        <f t="shared" si="1"/>
        <v>-2497.7789299999999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1654.77</v>
      </c>
      <c r="E41" s="9">
        <f t="shared" si="0"/>
        <v>59.763714518714238</v>
      </c>
      <c r="F41" s="9">
        <f t="shared" si="1"/>
        <v>-1114.0839999999998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1320.704</v>
      </c>
      <c r="D43" s="10">
        <v>99.974999999999994</v>
      </c>
      <c r="E43" s="9">
        <f t="shared" si="0"/>
        <v>7.5698263956193053</v>
      </c>
      <c r="F43" s="9">
        <f t="shared" si="1"/>
        <v>-1220.729</v>
      </c>
    </row>
    <row r="44" spans="1:7" ht="18" customHeight="1">
      <c r="A44" s="16">
        <v>2023000000</v>
      </c>
      <c r="B44" s="17" t="s">
        <v>23</v>
      </c>
      <c r="C44" s="12">
        <v>157.59899999999999</v>
      </c>
      <c r="D44" s="252">
        <v>74.343999999999994</v>
      </c>
      <c r="E44" s="9">
        <f t="shared" si="0"/>
        <v>47.172888152843605</v>
      </c>
      <c r="F44" s="9">
        <f t="shared" si="1"/>
        <v>-83.254999999999995</v>
      </c>
    </row>
    <row r="45" spans="1:7" ht="0.75" hidden="1" customHeight="1">
      <c r="A45" s="16">
        <v>2020400000</v>
      </c>
      <c r="B45" s="17" t="s">
        <v>24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hidden="1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6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6" s="6" customFormat="1" ht="18.75" customHeight="1">
      <c r="A50" s="7">
        <v>2190500005</v>
      </c>
      <c r="B50" s="11" t="s">
        <v>26</v>
      </c>
      <c r="C50" s="12">
        <v>0</v>
      </c>
      <c r="D50" s="10">
        <v>-79.711500000000001</v>
      </c>
      <c r="E50" s="9"/>
      <c r="F50" s="9"/>
    </row>
    <row r="51" spans="1:6" s="6" customFormat="1" ht="19.5" customHeight="1">
      <c r="A51" s="3"/>
      <c r="B51" s="4" t="s">
        <v>28</v>
      </c>
      <c r="C51" s="93">
        <f>C39+C40</f>
        <v>6439.1610000000001</v>
      </c>
      <c r="D51" s="93">
        <f>SUM(D39,D40,)</f>
        <v>2503.5574100000003</v>
      </c>
      <c r="E51" s="5">
        <f t="shared" si="0"/>
        <v>38.880180352688811</v>
      </c>
      <c r="F51" s="5">
        <f t="shared" si="1"/>
        <v>-3935.6035899999997</v>
      </c>
    </row>
    <row r="52" spans="1:6" s="6" customFormat="1">
      <c r="A52" s="3"/>
      <c r="B52" s="21" t="s">
        <v>321</v>
      </c>
      <c r="C52" s="93">
        <f>C51-C97</f>
        <v>-429.8700200000003</v>
      </c>
      <c r="D52" s="93">
        <f>D51-D97</f>
        <v>-362.5979699999998</v>
      </c>
      <c r="E52" s="22"/>
      <c r="F52" s="22"/>
    </row>
    <row r="53" spans="1:6">
      <c r="A53" s="23"/>
      <c r="B53" s="24"/>
      <c r="C53" s="251"/>
      <c r="D53" s="251"/>
      <c r="E53" s="26"/>
      <c r="F53" s="92"/>
    </row>
    <row r="54" spans="1:6" ht="60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6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29.25" customHeight="1">
      <c r="A56" s="30" t="s">
        <v>30</v>
      </c>
      <c r="B56" s="31" t="s">
        <v>31</v>
      </c>
      <c r="C56" s="32">
        <f>C57+C58+C59+C60+C61+C63+C62</f>
        <v>1442.627</v>
      </c>
      <c r="D56" s="32">
        <f>D57+D58+D59+D60+D61+D63+D62</f>
        <v>617.83598000000006</v>
      </c>
      <c r="E56" s="34">
        <f>SUM(D56/C56*100)</f>
        <v>42.827146587440836</v>
      </c>
      <c r="F56" s="34">
        <f>SUM(D56-C56)</f>
        <v>-824.79101999999989</v>
      </c>
    </row>
    <row r="57" spans="1:6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6">
      <c r="A58" s="35" t="s">
        <v>34</v>
      </c>
      <c r="B58" s="39" t="s">
        <v>35</v>
      </c>
      <c r="C58" s="37">
        <v>1410.7539999999999</v>
      </c>
      <c r="D58" s="37">
        <v>605.97298000000001</v>
      </c>
      <c r="E58" s="38">
        <f t="shared" ref="E58:E97" si="3">SUM(D58/C58*100)</f>
        <v>42.953837451462128</v>
      </c>
      <c r="F58" s="38">
        <f t="shared" ref="F58:F97" si="4">SUM(D58-C58)</f>
        <v>-804.7810199999999</v>
      </c>
    </row>
    <row r="59" spans="1:6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6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6" ht="18.75" customHeight="1">
      <c r="A63" s="35" t="s">
        <v>44</v>
      </c>
      <c r="B63" s="39" t="s">
        <v>45</v>
      </c>
      <c r="C63" s="37">
        <v>11.863</v>
      </c>
      <c r="D63" s="37">
        <v>11.863</v>
      </c>
      <c r="E63" s="38">
        <f t="shared" si="3"/>
        <v>100</v>
      </c>
      <c r="F63" s="38">
        <f t="shared" si="4"/>
        <v>0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67.252939999999995</v>
      </c>
      <c r="E64" s="34">
        <f t="shared" si="3"/>
        <v>44.573498319867973</v>
      </c>
      <c r="F64" s="34">
        <f t="shared" si="4"/>
        <v>-83.628060000000005</v>
      </c>
    </row>
    <row r="65" spans="1:7">
      <c r="A65" s="43" t="s">
        <v>48</v>
      </c>
      <c r="B65" s="44" t="s">
        <v>49</v>
      </c>
      <c r="C65" s="37">
        <v>150.881</v>
      </c>
      <c r="D65" s="37">
        <v>67.252939999999995</v>
      </c>
      <c r="E65" s="38">
        <f t="shared" si="3"/>
        <v>44.573498319867973</v>
      </c>
      <c r="F65" s="38">
        <f t="shared" si="4"/>
        <v>-83.628060000000005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10</v>
      </c>
      <c r="D66" s="32">
        <f>D69+D70</f>
        <v>0</v>
      </c>
      <c r="E66" s="34">
        <f t="shared" si="3"/>
        <v>0</v>
      </c>
      <c r="F66" s="34">
        <f t="shared" si="4"/>
        <v>-10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2319.4320200000002</v>
      </c>
      <c r="D71" s="48">
        <f>SUM(D72:D75)</f>
        <v>504.60867999999999</v>
      </c>
      <c r="E71" s="34">
        <f t="shared" si="3"/>
        <v>21.75570034598384</v>
      </c>
      <c r="F71" s="34">
        <f t="shared" si="4"/>
        <v>-1814.8233400000001</v>
      </c>
    </row>
    <row r="72" spans="1:7" ht="15" customHeight="1">
      <c r="A72" s="35" t="s">
        <v>60</v>
      </c>
      <c r="B72" s="39" t="s">
        <v>61</v>
      </c>
      <c r="C72" s="49">
        <v>19.417999999999999</v>
      </c>
      <c r="D72" s="37">
        <v>2.738</v>
      </c>
      <c r="E72" s="38">
        <f t="shared" si="3"/>
        <v>14.100319291379131</v>
      </c>
      <c r="F72" s="38">
        <f t="shared" si="4"/>
        <v>-16.68</v>
      </c>
    </row>
    <row r="73" spans="1:7" s="6" customFormat="1" ht="15" customHeight="1">
      <c r="A73" s="35" t="s">
        <v>62</v>
      </c>
      <c r="B73" s="39" t="s">
        <v>63</v>
      </c>
      <c r="C73" s="49">
        <v>140</v>
      </c>
      <c r="D73" s="37">
        <v>18.5</v>
      </c>
      <c r="E73" s="38">
        <f t="shared" si="3"/>
        <v>13.214285714285715</v>
      </c>
      <c r="F73" s="38">
        <f t="shared" si="4"/>
        <v>-121.5</v>
      </c>
      <c r="G73" s="50"/>
    </row>
    <row r="74" spans="1:7">
      <c r="A74" s="35" t="s">
        <v>64</v>
      </c>
      <c r="B74" s="39" t="s">
        <v>65</v>
      </c>
      <c r="C74" s="49">
        <v>1910.0140200000001</v>
      </c>
      <c r="D74" s="37">
        <v>446.52668</v>
      </c>
      <c r="E74" s="38">
        <f t="shared" si="3"/>
        <v>23.37818860617578</v>
      </c>
      <c r="F74" s="38">
        <f t="shared" si="4"/>
        <v>-1463.4873400000001</v>
      </c>
    </row>
    <row r="75" spans="1:7">
      <c r="A75" s="35" t="s">
        <v>66</v>
      </c>
      <c r="B75" s="39" t="s">
        <v>67</v>
      </c>
      <c r="C75" s="49">
        <v>250</v>
      </c>
      <c r="D75" s="37">
        <v>36.844000000000001</v>
      </c>
      <c r="E75" s="38">
        <f t="shared" si="3"/>
        <v>14.7376</v>
      </c>
      <c r="F75" s="38">
        <f t="shared" si="4"/>
        <v>-213.15600000000001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809.24099999999999</v>
      </c>
      <c r="D76" s="32">
        <f>SUM(D77:D79)</f>
        <v>184.60486</v>
      </c>
      <c r="E76" s="34">
        <f t="shared" si="3"/>
        <v>22.812099238669322</v>
      </c>
      <c r="F76" s="34">
        <f t="shared" si="4"/>
        <v>-624.63613999999995</v>
      </c>
    </row>
    <row r="77" spans="1:7" ht="14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hidden="1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809.24099999999999</v>
      </c>
      <c r="D79" s="37">
        <v>184.60486</v>
      </c>
      <c r="E79" s="38">
        <f t="shared" si="3"/>
        <v>22.812099238669322</v>
      </c>
      <c r="F79" s="38">
        <f t="shared" si="4"/>
        <v>-624.63613999999995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1467.9379200000001</v>
      </c>
      <c r="E80" s="34">
        <f>SUM(D80/C80*100)</f>
        <v>69.906799057075503</v>
      </c>
      <c r="F80" s="34">
        <f t="shared" si="4"/>
        <v>-631.91207999999983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1467.9379200000001</v>
      </c>
      <c r="E81" s="38">
        <f>SUM(D81/C81*100)</f>
        <v>69.906799057075503</v>
      </c>
      <c r="F81" s="38">
        <f t="shared" si="4"/>
        <v>-631.91207999999983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23.914999999999999</v>
      </c>
      <c r="E87" s="38">
        <f t="shared" si="3"/>
        <v>64.63513513513513</v>
      </c>
      <c r="F87" s="22">
        <f>F88+F89+F90+F91+F92</f>
        <v>-13.085000000000001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23.914999999999999</v>
      </c>
      <c r="E88" s="38">
        <f t="shared" si="3"/>
        <v>64.63513513513513</v>
      </c>
      <c r="F88" s="38">
        <f>SUM(D88-C88)</f>
        <v>-13.085000000000001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402">
        <f>C56+C64+C66+C71+C76+C80+C82+C87+C93</f>
        <v>6869.0310200000004</v>
      </c>
      <c r="D97" s="402">
        <f>D56+D64+D66+D71+D76+D80+D82+D87+D93</f>
        <v>2866.1553800000002</v>
      </c>
      <c r="E97" s="34">
        <f t="shared" si="3"/>
        <v>41.725759741874043</v>
      </c>
      <c r="F97" s="34">
        <f t="shared" si="4"/>
        <v>-4002.8756400000002</v>
      </c>
      <c r="G97" s="300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50"/>
      <c r="D99" s="250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</sheetData>
  <customSheetViews>
    <customSheetView guid="{A54C432C-6C68-4B53-A75C-446EB3A61B2B}" scale="70" showPageBreaks="1" hiddenRows="1" view="pageBreakPreview" topLeftCell="A58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 topLeftCell="A2">
      <selection activeCell="A2" sqref="A2:F2"/>
      <pageMargins left="0.7" right="0.7" top="0.75" bottom="0.75" header="0.3" footer="0.3"/>
      <pageSetup paperSize="9" scale="49" orientation="portrait" r:id="rId2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3"/>
    </customSheetView>
    <customSheetView guid="{42584DC0-1D41-4C93-9B38-C388E7B8DAC4}" scale="70" showPageBreaks="1" hiddenRows="1" view="pageBreakPreview" topLeftCell="C61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3"/>
  <sheetViews>
    <sheetView view="pageBreakPreview" topLeftCell="A55" zoomScale="70" zoomScaleNormal="61" zoomScaleSheetLayoutView="70" workbookViewId="0">
      <selection activeCell="D98" sqref="C98:D98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2" t="s">
        <v>375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510.27663000000007</v>
      </c>
      <c r="E4" s="5">
        <f>SUM(D4/C4*100)</f>
        <v>34.39680687563196</v>
      </c>
      <c r="F4" s="5">
        <f>SUM(D4-C4)</f>
        <v>-973.22336999999993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46.536810000000003</v>
      </c>
      <c r="E5" s="5">
        <f t="shared" ref="E5:E51" si="0">SUM(D5/C5*100)</f>
        <v>44.405353053435121</v>
      </c>
      <c r="F5" s="5">
        <f t="shared" ref="F5:F51" si="1">SUM(D5-C5)</f>
        <v>-58.263189999999994</v>
      </c>
    </row>
    <row r="6" spans="1:6">
      <c r="A6" s="7">
        <v>1010200001</v>
      </c>
      <c r="B6" s="8" t="s">
        <v>229</v>
      </c>
      <c r="C6" s="9">
        <v>104.8</v>
      </c>
      <c r="D6" s="10">
        <v>46.536810000000003</v>
      </c>
      <c r="E6" s="9">
        <f t="shared" ref="E6:E11" si="2">SUM(D6/C6*100)</f>
        <v>44.405353053435121</v>
      </c>
      <c r="F6" s="9">
        <f t="shared" si="1"/>
        <v>-58.263189999999994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349.79422000000005</v>
      </c>
      <c r="E7" s="5">
        <f t="shared" si="2"/>
        <v>48.334146745889193</v>
      </c>
      <c r="F7" s="5">
        <f t="shared" si="1"/>
        <v>-373.90577999999988</v>
      </c>
    </row>
    <row r="8" spans="1:6">
      <c r="A8" s="7">
        <v>1030223001</v>
      </c>
      <c r="B8" s="8" t="s">
        <v>283</v>
      </c>
      <c r="C8" s="9">
        <v>269.94</v>
      </c>
      <c r="D8" s="10">
        <v>151.59338</v>
      </c>
      <c r="E8" s="9">
        <f t="shared" si="2"/>
        <v>56.158175890938722</v>
      </c>
      <c r="F8" s="9">
        <f t="shared" si="1"/>
        <v>-118.34662</v>
      </c>
    </row>
    <row r="9" spans="1:6">
      <c r="A9" s="7">
        <v>1030224001</v>
      </c>
      <c r="B9" s="8" t="s">
        <v>289</v>
      </c>
      <c r="C9" s="9">
        <v>2.9</v>
      </c>
      <c r="D9" s="10">
        <v>1.14924</v>
      </c>
      <c r="E9" s="9">
        <f>SUM(D9/C9*100)</f>
        <v>39.628965517241383</v>
      </c>
      <c r="F9" s="9">
        <f t="shared" si="1"/>
        <v>-1.7507599999999999</v>
      </c>
    </row>
    <row r="10" spans="1:6">
      <c r="A10" s="7">
        <v>1030225001</v>
      </c>
      <c r="B10" s="8" t="s">
        <v>282</v>
      </c>
      <c r="C10" s="9">
        <v>450.86</v>
      </c>
      <c r="D10" s="10">
        <v>228.54821000000001</v>
      </c>
      <c r="E10" s="9">
        <f t="shared" si="2"/>
        <v>50.691613804728739</v>
      </c>
      <c r="F10" s="9">
        <f t="shared" si="1"/>
        <v>-222.31179</v>
      </c>
    </row>
    <row r="11" spans="1:6">
      <c r="A11" s="7">
        <v>1030226001</v>
      </c>
      <c r="B11" s="8" t="s">
        <v>291</v>
      </c>
      <c r="C11" s="9">
        <v>0</v>
      </c>
      <c r="D11" s="10">
        <v>-31.49661</v>
      </c>
      <c r="E11" s="9" t="e">
        <f t="shared" si="2"/>
        <v>#DIV/0!</v>
      </c>
      <c r="F11" s="9">
        <f t="shared" si="1"/>
        <v>-31.49661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26.019300000000001</v>
      </c>
      <c r="E12" s="5">
        <f t="shared" si="0"/>
        <v>173.46200000000002</v>
      </c>
      <c r="F12" s="5">
        <f t="shared" si="1"/>
        <v>11.019300000000001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26.019300000000001</v>
      </c>
      <c r="E13" s="9">
        <f t="shared" si="0"/>
        <v>173.46200000000002</v>
      </c>
      <c r="F13" s="9">
        <f t="shared" si="1"/>
        <v>11.019300000000001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84.426299999999998</v>
      </c>
      <c r="E14" s="5">
        <f t="shared" si="0"/>
        <v>13.401</v>
      </c>
      <c r="F14" s="5">
        <f t="shared" si="1"/>
        <v>-545.57370000000003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9.4748000000000001</v>
      </c>
      <c r="E15" s="9">
        <f t="shared" si="0"/>
        <v>5.9217500000000003</v>
      </c>
      <c r="F15" s="9">
        <f>SUM(D15-C15)</f>
        <v>-150.52520000000001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74.951499999999996</v>
      </c>
      <c r="E16" s="9">
        <f t="shared" si="0"/>
        <v>15.947127659574466</v>
      </c>
      <c r="F16" s="9">
        <f t="shared" si="1"/>
        <v>-395.04849999999999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3.5</v>
      </c>
      <c r="E17" s="5">
        <f t="shared" si="0"/>
        <v>35</v>
      </c>
      <c r="F17" s="5">
        <f t="shared" si="1"/>
        <v>-6.5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3.5</v>
      </c>
      <c r="E18" s="9">
        <f t="shared" si="0"/>
        <v>35</v>
      </c>
      <c r="F18" s="9">
        <f t="shared" si="1"/>
        <v>-6.5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380</v>
      </c>
      <c r="D25" s="5">
        <f>D26+D29+D32+D37+D35</f>
        <v>272.19709999999998</v>
      </c>
      <c r="E25" s="5">
        <f t="shared" si="0"/>
        <v>71.630815789473672</v>
      </c>
      <c r="F25" s="5">
        <f t="shared" si="1"/>
        <v>-107.80290000000002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330</v>
      </c>
      <c r="D26" s="5">
        <f>D27+D28</f>
        <v>244.61951999999999</v>
      </c>
      <c r="E26" s="5">
        <f t="shared" si="0"/>
        <v>74.127127272727265</v>
      </c>
      <c r="F26" s="5">
        <f t="shared" si="1"/>
        <v>-85.380480000000006</v>
      </c>
    </row>
    <row r="27" spans="1:6">
      <c r="A27" s="16">
        <v>1110502510</v>
      </c>
      <c r="B27" s="17" t="s">
        <v>226</v>
      </c>
      <c r="C27" s="12">
        <v>300</v>
      </c>
      <c r="D27" s="10">
        <v>206.1</v>
      </c>
      <c r="E27" s="9">
        <f t="shared" si="0"/>
        <v>68.699999999999989</v>
      </c>
      <c r="F27" s="9">
        <f t="shared" si="1"/>
        <v>-93.9</v>
      </c>
    </row>
    <row r="28" spans="1:6" ht="18" customHeight="1">
      <c r="A28" s="7">
        <v>1110503505</v>
      </c>
      <c r="B28" s="11" t="s">
        <v>225</v>
      </c>
      <c r="C28" s="12">
        <v>30</v>
      </c>
      <c r="D28" s="10">
        <v>38.51952</v>
      </c>
      <c r="E28" s="9">
        <f t="shared" si="0"/>
        <v>128.39840000000001</v>
      </c>
      <c r="F28" s="9">
        <f t="shared" si="1"/>
        <v>8.51952</v>
      </c>
    </row>
    <row r="29" spans="1:6" s="15" customFormat="1" ht="18" customHeight="1">
      <c r="A29" s="68">
        <v>1130000000</v>
      </c>
      <c r="B29" s="69" t="s">
        <v>131</v>
      </c>
      <c r="C29" s="5">
        <f>C30</f>
        <v>50</v>
      </c>
      <c r="D29" s="5">
        <f>D30+D31</f>
        <v>27.83521</v>
      </c>
      <c r="E29" s="5">
        <f t="shared" si="0"/>
        <v>55.67042</v>
      </c>
      <c r="F29" s="5">
        <f t="shared" si="1"/>
        <v>-22.16479</v>
      </c>
    </row>
    <row r="30" spans="1:6" ht="15.75" customHeight="1">
      <c r="A30" s="7">
        <v>1130206510</v>
      </c>
      <c r="B30" s="8" t="s">
        <v>338</v>
      </c>
      <c r="C30" s="9">
        <v>50</v>
      </c>
      <c r="D30" s="328">
        <v>17.80827</v>
      </c>
      <c r="E30" s="9">
        <f t="shared" si="0"/>
        <v>35.616540000000001</v>
      </c>
      <c r="F30" s="9">
        <f t="shared" si="1"/>
        <v>-32.19173</v>
      </c>
    </row>
    <row r="31" spans="1:6" ht="17.25" customHeight="1">
      <c r="A31" s="7">
        <v>1130299510</v>
      </c>
      <c r="B31" s="8" t="s">
        <v>357</v>
      </c>
      <c r="C31" s="9">
        <v>0</v>
      </c>
      <c r="D31" s="328">
        <v>10.02694</v>
      </c>
      <c r="E31" s="9" t="e">
        <f>SUM(D31/C31*100)</f>
        <v>#DIV/0!</v>
      </c>
      <c r="F31" s="9">
        <f>SUM(D31-C31)</f>
        <v>10.02694</v>
      </c>
    </row>
    <row r="32" spans="1:6" ht="18" hidden="1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1863.5</v>
      </c>
      <c r="D40" s="127">
        <f>D4+D25</f>
        <v>782.47373000000005</v>
      </c>
      <c r="E40" s="5">
        <f t="shared" si="0"/>
        <v>41.989467668365982</v>
      </c>
      <c r="F40" s="5">
        <f t="shared" si="1"/>
        <v>-1081.0262699999998</v>
      </c>
    </row>
    <row r="41" spans="1:7" s="6" customFormat="1">
      <c r="A41" s="3">
        <v>2000000000</v>
      </c>
      <c r="B41" s="4" t="s">
        <v>20</v>
      </c>
      <c r="C41" s="5">
        <f>C42+C43+C44+C45+C46+C48</f>
        <v>2945.2820000000002</v>
      </c>
      <c r="D41" s="5">
        <f>D42+D43+D44+D45+D46+D48+D49</f>
        <v>1256.7735999999998</v>
      </c>
      <c r="E41" s="5">
        <f t="shared" si="0"/>
        <v>42.670739168609309</v>
      </c>
      <c r="F41" s="5">
        <f t="shared" si="1"/>
        <v>-1688.5084000000004</v>
      </c>
      <c r="G41" s="19"/>
    </row>
    <row r="42" spans="1:7">
      <c r="A42" s="16">
        <v>2021000000</v>
      </c>
      <c r="B42" s="17" t="s">
        <v>21</v>
      </c>
      <c r="C42" s="99">
        <f>1342.7+9.163</f>
        <v>1351.8630000000001</v>
      </c>
      <c r="D42" s="20">
        <v>845.67499999999995</v>
      </c>
      <c r="E42" s="9">
        <f t="shared" si="0"/>
        <v>62.556264946965776</v>
      </c>
      <c r="F42" s="9">
        <f t="shared" si="1"/>
        <v>-506.1880000000001</v>
      </c>
    </row>
    <row r="43" spans="1:7" ht="15.75" customHeight="1">
      <c r="A43" s="16">
        <v>2021500200</v>
      </c>
      <c r="B43" s="17" t="s">
        <v>232</v>
      </c>
      <c r="C43" s="99">
        <v>584</v>
      </c>
      <c r="D43" s="20">
        <v>227</v>
      </c>
      <c r="E43" s="9">
        <f>SUM(D43/C43*100)</f>
        <v>38.869863013698627</v>
      </c>
      <c r="F43" s="9">
        <f>SUM(D43-C43)</f>
        <v>-357</v>
      </c>
    </row>
    <row r="44" spans="1:7">
      <c r="A44" s="16">
        <v>2022000000</v>
      </c>
      <c r="B44" s="17" t="s">
        <v>22</v>
      </c>
      <c r="C44" s="99">
        <v>802.58</v>
      </c>
      <c r="D44" s="10">
        <v>79.504000000000005</v>
      </c>
      <c r="E44" s="9">
        <f t="shared" si="0"/>
        <v>9.9060529791422667</v>
      </c>
      <c r="F44" s="9">
        <f t="shared" si="1"/>
        <v>-723.07600000000002</v>
      </c>
    </row>
    <row r="45" spans="1:7">
      <c r="A45" s="16">
        <v>2023000000</v>
      </c>
      <c r="B45" s="17" t="s">
        <v>23</v>
      </c>
      <c r="C45" s="12">
        <f>3.359+150.88</f>
        <v>154.239</v>
      </c>
      <c r="D45" s="252">
        <v>74.343999999999994</v>
      </c>
      <c r="E45" s="9">
        <f t="shared" si="0"/>
        <v>48.200519972250852</v>
      </c>
      <c r="F45" s="9">
        <f t="shared" si="1"/>
        <v>-79.89500000000001</v>
      </c>
    </row>
    <row r="46" spans="1:7" hidden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3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3">
        <v>-22.349399999999999</v>
      </c>
      <c r="E49" s="9" t="e">
        <f t="shared" si="0"/>
        <v>#DIV/0!</v>
      </c>
      <c r="F49" s="9">
        <f t="shared" si="1"/>
        <v>-22.349399999999999</v>
      </c>
    </row>
    <row r="50" spans="1:8" s="6" customFormat="1" ht="0.75" hidden="1" customHeight="1">
      <c r="A50" s="3">
        <v>3000000000</v>
      </c>
      <c r="B50" s="13" t="s">
        <v>27</v>
      </c>
      <c r="C50" s="28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93">
        <f>C40+C41</f>
        <v>4808.7820000000002</v>
      </c>
      <c r="D51" s="93">
        <f>D40+D41</f>
        <v>2039.2473299999997</v>
      </c>
      <c r="E51" s="93">
        <f t="shared" si="0"/>
        <v>42.406732723587794</v>
      </c>
      <c r="F51" s="93">
        <f t="shared" si="1"/>
        <v>-2769.5346700000005</v>
      </c>
      <c r="G51" s="300"/>
      <c r="H51" s="300"/>
    </row>
    <row r="52" spans="1:8" s="6" customFormat="1">
      <c r="A52" s="3"/>
      <c r="B52" s="21" t="s">
        <v>321</v>
      </c>
      <c r="C52" s="93">
        <f>C51-C98</f>
        <v>-290.47623000000021</v>
      </c>
      <c r="D52" s="93">
        <f>D51-D98</f>
        <v>-6.281130000000303</v>
      </c>
      <c r="E52" s="285"/>
      <c r="F52" s="285"/>
    </row>
    <row r="53" spans="1:8">
      <c r="A53" s="23"/>
      <c r="B53" s="24"/>
      <c r="C53" s="251"/>
      <c r="D53" s="251"/>
      <c r="E53" s="26"/>
      <c r="F53" s="27"/>
    </row>
    <row r="54" spans="1:8" ht="45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1105.9110000000001</v>
      </c>
      <c r="D56" s="33">
        <f>D57+D58+D59+D60+D61+D63+D62</f>
        <v>472.46456000000001</v>
      </c>
      <c r="E56" s="34">
        <f>SUM(D56/C56*100)</f>
        <v>42.721752473752403</v>
      </c>
      <c r="F56" s="34">
        <f>SUM(D56-C56)</f>
        <v>-633.44644000000005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1096.463</v>
      </c>
      <c r="D58" s="37">
        <v>468.96856000000002</v>
      </c>
      <c r="E58" s="38">
        <f t="shared" ref="E58:E98" si="3">SUM(D58/C58*100)</f>
        <v>42.771033769493364</v>
      </c>
      <c r="F58" s="38">
        <f t="shared" ref="F58:F98" si="4">SUM(D58-C58)</f>
        <v>-627.49443999999994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4.4480000000000004</v>
      </c>
      <c r="D63" s="37">
        <v>3.496</v>
      </c>
      <c r="E63" s="38">
        <f t="shared" si="3"/>
        <v>78.597122302158269</v>
      </c>
      <c r="F63" s="38">
        <f t="shared" si="4"/>
        <v>-0.9520000000000004</v>
      </c>
    </row>
    <row r="64" spans="1:8" s="6" customFormat="1">
      <c r="A64" s="41" t="s">
        <v>46</v>
      </c>
      <c r="B64" s="42" t="s">
        <v>47</v>
      </c>
      <c r="C64" s="32">
        <f>C65</f>
        <v>150.88</v>
      </c>
      <c r="D64" s="32">
        <f>D65</f>
        <v>67.228449999999995</v>
      </c>
      <c r="E64" s="34">
        <f t="shared" si="3"/>
        <v>44.557562301166485</v>
      </c>
      <c r="F64" s="34">
        <f t="shared" si="4"/>
        <v>-83.65155</v>
      </c>
    </row>
    <row r="65" spans="1:7">
      <c r="A65" s="43" t="s">
        <v>48</v>
      </c>
      <c r="B65" s="44" t="s">
        <v>49</v>
      </c>
      <c r="C65" s="37">
        <v>150.88</v>
      </c>
      <c r="D65" s="37">
        <v>67.228449999999995</v>
      </c>
      <c r="E65" s="38">
        <f t="shared" si="3"/>
        <v>44.557562301166485</v>
      </c>
      <c r="F65" s="38">
        <f t="shared" si="4"/>
        <v>-83.65155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SUM(D67:D69)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2259.2762300000004</v>
      </c>
      <c r="D71" s="48">
        <f>SUM(D72:D76)</f>
        <v>654.38562999999999</v>
      </c>
      <c r="E71" s="34">
        <f t="shared" si="3"/>
        <v>28.96439228239036</v>
      </c>
      <c r="F71" s="34">
        <f t="shared" si="4"/>
        <v>-1604.8906000000004</v>
      </c>
    </row>
    <row r="72" spans="1:7" ht="15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7.25" customHeight="1">
      <c r="A73" s="35" t="s">
        <v>62</v>
      </c>
      <c r="B73" s="39" t="s">
        <v>63</v>
      </c>
      <c r="C73" s="49">
        <v>243.59100000000001</v>
      </c>
      <c r="D73" s="37">
        <v>122.87477</v>
      </c>
      <c r="E73" s="38">
        <f t="shared" si="3"/>
        <v>50.443066451551985</v>
      </c>
      <c r="F73" s="38">
        <f t="shared" si="4"/>
        <v>-120.71623000000001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1814.5672300000001</v>
      </c>
      <c r="D75" s="37">
        <v>479.24885999999998</v>
      </c>
      <c r="E75" s="38">
        <f t="shared" si="3"/>
        <v>26.411193373088743</v>
      </c>
      <c r="F75" s="38">
        <f t="shared" si="4"/>
        <v>-1335.3183700000002</v>
      </c>
    </row>
    <row r="76" spans="1:7">
      <c r="A76" s="35" t="s">
        <v>66</v>
      </c>
      <c r="B76" s="39" t="s">
        <v>67</v>
      </c>
      <c r="C76" s="49">
        <v>191.40899999999999</v>
      </c>
      <c r="D76" s="37">
        <v>52.262</v>
      </c>
      <c r="E76" s="38">
        <f t="shared" si="3"/>
        <v>27.30383628773987</v>
      </c>
      <c r="F76" s="38">
        <f t="shared" si="4"/>
        <v>-139.14699999999999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344.59100000000001</v>
      </c>
      <c r="D77" s="32">
        <f>SUM(D78:D80)</f>
        <v>166.15482</v>
      </c>
      <c r="E77" s="34">
        <f t="shared" si="3"/>
        <v>48.217980156185156</v>
      </c>
      <c r="F77" s="34">
        <f t="shared" si="4"/>
        <v>-178.43618000000001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344.59100000000001</v>
      </c>
      <c r="D80" s="37">
        <v>166.15482</v>
      </c>
      <c r="E80" s="38">
        <f t="shared" si="3"/>
        <v>48.217980156185156</v>
      </c>
      <c r="F80" s="38">
        <f t="shared" si="4"/>
        <v>-178.43618000000001</v>
      </c>
    </row>
    <row r="81" spans="1:6" s="6" customFormat="1">
      <c r="A81" s="30" t="s">
        <v>86</v>
      </c>
      <c r="B81" s="31" t="s">
        <v>87</v>
      </c>
      <c r="C81" s="32">
        <f>C82</f>
        <v>1221.5999999999999</v>
      </c>
      <c r="D81" s="32">
        <f>D82</f>
        <v>685.29499999999996</v>
      </c>
      <c r="E81" s="34">
        <f t="shared" si="3"/>
        <v>56.098149967256063</v>
      </c>
      <c r="F81" s="34">
        <f t="shared" si="4"/>
        <v>-536.30499999999995</v>
      </c>
    </row>
    <row r="82" spans="1:6" ht="15.75" customHeight="1">
      <c r="A82" s="35" t="s">
        <v>88</v>
      </c>
      <c r="B82" s="39" t="s">
        <v>234</v>
      </c>
      <c r="C82" s="37">
        <v>1221.5999999999999</v>
      </c>
      <c r="D82" s="37">
        <v>685.29499999999996</v>
      </c>
      <c r="E82" s="38">
        <f t="shared" si="3"/>
        <v>56.098149967256063</v>
      </c>
      <c r="F82" s="38">
        <f t="shared" si="4"/>
        <v>-536.30499999999995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hidden="1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7">
        <f>D97</f>
        <v>0</v>
      </c>
      <c r="E96" s="38">
        <f t="shared" si="3"/>
        <v>0</v>
      </c>
      <c r="F96" s="38">
        <f t="shared" si="4"/>
        <v>-10</v>
      </c>
    </row>
    <row r="97" spans="1:6" ht="18" customHeight="1">
      <c r="A97" s="35" t="s">
        <v>97</v>
      </c>
      <c r="B97" s="39" t="s">
        <v>98</v>
      </c>
      <c r="C97" s="49">
        <v>10</v>
      </c>
      <c r="D97" s="241">
        <v>0</v>
      </c>
      <c r="E97" s="38">
        <f t="shared" si="3"/>
        <v>0</v>
      </c>
      <c r="F97" s="38">
        <f t="shared" si="4"/>
        <v>-10</v>
      </c>
    </row>
    <row r="98" spans="1:6" s="6" customFormat="1">
      <c r="A98" s="52"/>
      <c r="B98" s="57" t="s">
        <v>119</v>
      </c>
      <c r="C98" s="402">
        <f>C56+C64+C66+C71+C77+C81+C96</f>
        <v>5099.2582300000004</v>
      </c>
      <c r="D98" s="402">
        <f>D56+D64+D66+D71+D77+D81+D88+D83+D94+D96</f>
        <v>2045.52846</v>
      </c>
      <c r="E98" s="34">
        <f t="shared" si="3"/>
        <v>40.114235595399528</v>
      </c>
      <c r="F98" s="34">
        <f t="shared" si="4"/>
        <v>-3053.7297700000004</v>
      </c>
    </row>
    <row r="99" spans="1:6" ht="16.5" customHeight="1">
      <c r="C99" s="126"/>
      <c r="D99" s="101"/>
    </row>
    <row r="100" spans="1:6" s="65" customFormat="1" ht="20.25" customHeight="1">
      <c r="A100" s="63" t="s">
        <v>120</v>
      </c>
      <c r="B100" s="63"/>
      <c r="C100" s="116"/>
      <c r="D100" s="64" t="s">
        <v>275</v>
      </c>
    </row>
    <row r="101" spans="1:6" s="65" customFormat="1" ht="13.5" customHeight="1">
      <c r="A101" s="66" t="s">
        <v>121</v>
      </c>
      <c r="B101" s="66"/>
      <c r="C101" s="65" t="s">
        <v>122</v>
      </c>
    </row>
    <row r="103" spans="1:6" ht="5.25" customHeight="1"/>
  </sheetData>
  <customSheetViews>
    <customSheetView guid="{A54C432C-6C68-4B53-A75C-446EB3A61B2B}" scale="70" showPageBreaks="1" printArea="1" hiddenRows="1" view="pageBreakPreview" topLeftCell="A1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printArea="1" hiddenRows="1" view="pageBreakPreview">
      <selection activeCell="A2" sqref="A2:F2"/>
      <pageMargins left="0.7" right="0.7" top="0.75" bottom="0.75" header="0.3" footer="0.3"/>
      <pageSetup paperSize="9" scale="48" orientation="portrait" r:id="rId2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3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G99"/>
  <sheetViews>
    <sheetView view="pageBreakPreview" topLeftCell="A45" zoomScale="70" zoomScaleSheetLayoutView="70" workbookViewId="0">
      <selection activeCell="C95" sqref="C95:D95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376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269.91746999999998</v>
      </c>
      <c r="E4" s="5">
        <f>SUM(D4/C4*100)</f>
        <v>28.877444099711134</v>
      </c>
      <c r="F4" s="5">
        <f>SUM(D4-C4)</f>
        <v>-664.78253000000007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43.949330000000003</v>
      </c>
      <c r="E5" s="5">
        <f t="shared" ref="E5:E49" si="0">SUM(D5/C5*100)</f>
        <v>51.22299533799535</v>
      </c>
      <c r="F5" s="5">
        <f t="shared" ref="F5:F49" si="1">SUM(D5-C5)</f>
        <v>-41.850669999999994</v>
      </c>
    </row>
    <row r="6" spans="1:6">
      <c r="A6" s="7">
        <v>1010200001</v>
      </c>
      <c r="B6" s="8" t="s">
        <v>229</v>
      </c>
      <c r="C6" s="9">
        <v>85.8</v>
      </c>
      <c r="D6" s="10">
        <v>43.949330000000003</v>
      </c>
      <c r="E6" s="9">
        <f t="shared" ref="E6:E11" si="2">SUM(D6/C6*100)</f>
        <v>51.22299533799535</v>
      </c>
      <c r="F6" s="9">
        <f t="shared" si="1"/>
        <v>-41.850669999999994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159.93536</v>
      </c>
      <c r="E7" s="5">
        <f t="shared" si="2"/>
        <v>48.333442127530972</v>
      </c>
      <c r="F7" s="5">
        <f t="shared" si="1"/>
        <v>-170.96464000000003</v>
      </c>
    </row>
    <row r="8" spans="1:6">
      <c r="A8" s="7">
        <v>1030223001</v>
      </c>
      <c r="B8" s="8" t="s">
        <v>283</v>
      </c>
      <c r="C8" s="9">
        <v>123.43</v>
      </c>
      <c r="D8" s="10">
        <v>69.312600000000003</v>
      </c>
      <c r="E8" s="9">
        <f t="shared" si="2"/>
        <v>56.155391720003244</v>
      </c>
      <c r="F8" s="9">
        <f t="shared" si="1"/>
        <v>-54.117400000000004</v>
      </c>
    </row>
    <row r="9" spans="1:6">
      <c r="A9" s="7">
        <v>1030224001</v>
      </c>
      <c r="B9" s="8" t="s">
        <v>289</v>
      </c>
      <c r="C9" s="9">
        <v>1.32</v>
      </c>
      <c r="D9" s="10">
        <v>0.52544000000000002</v>
      </c>
      <c r="E9" s="9">
        <f t="shared" si="2"/>
        <v>39.806060606060605</v>
      </c>
      <c r="F9" s="9">
        <f t="shared" si="1"/>
        <v>-0.79456000000000004</v>
      </c>
    </row>
    <row r="10" spans="1:6">
      <c r="A10" s="7">
        <v>1030225001</v>
      </c>
      <c r="B10" s="8" t="s">
        <v>282</v>
      </c>
      <c r="C10" s="9">
        <v>206.15</v>
      </c>
      <c r="D10" s="10">
        <v>104.49842</v>
      </c>
      <c r="E10" s="9">
        <f t="shared" si="2"/>
        <v>50.690477807421772</v>
      </c>
      <c r="F10" s="9">
        <f t="shared" si="1"/>
        <v>-101.65158000000001</v>
      </c>
    </row>
    <row r="11" spans="1:6">
      <c r="A11" s="7">
        <v>1030226001</v>
      </c>
      <c r="B11" s="8" t="s">
        <v>291</v>
      </c>
      <c r="C11" s="9">
        <v>0</v>
      </c>
      <c r="D11" s="10">
        <v>-14.4011</v>
      </c>
      <c r="E11" s="9" t="e">
        <f t="shared" si="2"/>
        <v>#DIV/0!</v>
      </c>
      <c r="F11" s="9">
        <f t="shared" si="1"/>
        <v>-14.4011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2.532</v>
      </c>
      <c r="E12" s="5">
        <f t="shared" si="0"/>
        <v>25.319999999999997</v>
      </c>
      <c r="F12" s="5">
        <f t="shared" si="1"/>
        <v>-7.468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2.532</v>
      </c>
      <c r="E13" s="9">
        <f t="shared" si="0"/>
        <v>25.319999999999997</v>
      </c>
      <c r="F13" s="9">
        <f t="shared" si="1"/>
        <v>-7.468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500</v>
      </c>
      <c r="D14" s="5">
        <f>D15+D16</f>
        <v>44.700780000000002</v>
      </c>
      <c r="E14" s="5">
        <f t="shared" si="0"/>
        <v>8.940156</v>
      </c>
      <c r="F14" s="5">
        <f t="shared" si="1"/>
        <v>-455.29921999999999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v>1.37137</v>
      </c>
      <c r="E15" s="9">
        <f t="shared" si="0"/>
        <v>1.2467000000000001</v>
      </c>
      <c r="F15" s="9">
        <f>SUM(D15-C15)</f>
        <v>-108.62863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43.329410000000003</v>
      </c>
      <c r="E16" s="9">
        <f t="shared" si="0"/>
        <v>11.110105128205129</v>
      </c>
      <c r="F16" s="9">
        <f t="shared" si="1"/>
        <v>-346.67059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18.8</v>
      </c>
      <c r="E17" s="5">
        <f t="shared" si="0"/>
        <v>235</v>
      </c>
      <c r="F17" s="5">
        <f t="shared" si="1"/>
        <v>10.8</v>
      </c>
    </row>
    <row r="18" spans="1:6" ht="18" customHeight="1">
      <c r="A18" s="7">
        <v>1080400001</v>
      </c>
      <c r="B18" s="8" t="s">
        <v>228</v>
      </c>
      <c r="C18" s="9">
        <v>8</v>
      </c>
      <c r="D18" s="10">
        <v>18.8</v>
      </c>
      <c r="E18" s="9">
        <f t="shared" si="0"/>
        <v>235</v>
      </c>
      <c r="F18" s="9">
        <f t="shared" si="1"/>
        <v>10.8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</f>
        <v>5.0369000000000002</v>
      </c>
      <c r="E25" s="5">
        <f t="shared" si="0"/>
        <v>15.263333333333334</v>
      </c>
      <c r="F25" s="5">
        <f t="shared" si="1"/>
        <v>-27.963100000000001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8" customHeight="1">
      <c r="A27" s="16">
        <v>1110502510</v>
      </c>
      <c r="B27" s="17" t="s">
        <v>226</v>
      </c>
      <c r="C27" s="12">
        <v>33</v>
      </c>
      <c r="D27" s="10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7.5" hidden="1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5.75" hidden="1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22.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127">
        <f>D4+D25</f>
        <v>274.95436999999998</v>
      </c>
      <c r="E37" s="5">
        <f t="shared" si="0"/>
        <v>28.413182804588192</v>
      </c>
      <c r="F37" s="5">
        <f t="shared" si="1"/>
        <v>-692.74563000000012</v>
      </c>
    </row>
    <row r="38" spans="1:7" s="6" customFormat="1">
      <c r="A38" s="3">
        <v>2000000000</v>
      </c>
      <c r="B38" s="4" t="s">
        <v>20</v>
      </c>
      <c r="C38" s="5">
        <f>C39+C41+C42+C43+C44+C45</f>
        <v>2633.86</v>
      </c>
      <c r="D38" s="5">
        <f>D39+D41+D42+D43+D45</f>
        <v>1192.115</v>
      </c>
      <c r="E38" s="5">
        <f t="shared" si="0"/>
        <v>45.261137645888546</v>
      </c>
      <c r="F38" s="5">
        <f t="shared" si="1"/>
        <v>-1441.7450000000001</v>
      </c>
      <c r="G38" s="19"/>
    </row>
    <row r="39" spans="1:7" ht="14.25" customHeight="1">
      <c r="A39" s="16">
        <v>2021000000</v>
      </c>
      <c r="B39" s="17" t="s">
        <v>21</v>
      </c>
      <c r="C39" s="99">
        <f>1221.5+37.496</f>
        <v>1258.9960000000001</v>
      </c>
      <c r="D39" s="20">
        <v>769.33900000000006</v>
      </c>
      <c r="E39" s="9">
        <f t="shared" si="0"/>
        <v>61.107342676227731</v>
      </c>
      <c r="F39" s="9">
        <f t="shared" si="1"/>
        <v>-489.65700000000004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730</v>
      </c>
      <c r="D41" s="20">
        <v>215</v>
      </c>
      <c r="E41" s="9">
        <f t="shared" si="0"/>
        <v>29.452054794520549</v>
      </c>
      <c r="F41" s="9">
        <f t="shared" si="1"/>
        <v>-515</v>
      </c>
    </row>
    <row r="42" spans="1:7">
      <c r="A42" s="16">
        <v>2022000000</v>
      </c>
      <c r="B42" s="17" t="s">
        <v>22</v>
      </c>
      <c r="C42" s="99">
        <v>480.91</v>
      </c>
      <c r="D42" s="10">
        <v>85.23</v>
      </c>
      <c r="E42" s="9"/>
      <c r="F42" s="9">
        <f t="shared" si="1"/>
        <v>-395.68</v>
      </c>
    </row>
    <row r="43" spans="1:7">
      <c r="A43" s="16">
        <v>2023000000</v>
      </c>
      <c r="B43" s="17" t="s">
        <v>23</v>
      </c>
      <c r="C43" s="12">
        <v>73.953999999999994</v>
      </c>
      <c r="D43" s="252">
        <v>35.545999999999999</v>
      </c>
      <c r="E43" s="9">
        <f t="shared" si="0"/>
        <v>48.065013386699846</v>
      </c>
      <c r="F43" s="9">
        <f t="shared" si="1"/>
        <v>-38.407999999999994</v>
      </c>
    </row>
    <row r="44" spans="1:7" ht="0.75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>
      <c r="A45" s="16">
        <v>2070500010</v>
      </c>
      <c r="B45" s="8" t="s">
        <v>355</v>
      </c>
      <c r="C45" s="12">
        <v>90</v>
      </c>
      <c r="D45" s="253">
        <v>87</v>
      </c>
      <c r="E45" s="9">
        <f t="shared" si="0"/>
        <v>96.666666666666671</v>
      </c>
      <c r="F45" s="9">
        <f t="shared" si="1"/>
        <v>-3</v>
      </c>
    </row>
    <row r="46" spans="1:7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 hidden="1">
      <c r="A47" s="3">
        <v>3000000000</v>
      </c>
      <c r="B47" s="13" t="s">
        <v>27</v>
      </c>
      <c r="C47" s="28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idden="1">
      <c r="A48" s="3">
        <v>2190500010</v>
      </c>
      <c r="B48" s="13" t="s">
        <v>326</v>
      </c>
      <c r="C48" s="281">
        <v>0</v>
      </c>
      <c r="D48" s="14">
        <v>0</v>
      </c>
      <c r="E48" s="5"/>
      <c r="F48" s="5"/>
    </row>
    <row r="49" spans="1:7" s="6" customFormat="1" ht="16.5" customHeight="1">
      <c r="A49" s="3"/>
      <c r="B49" s="4" t="s">
        <v>28</v>
      </c>
      <c r="C49" s="284">
        <f>C37+C38</f>
        <v>3601.5600000000004</v>
      </c>
      <c r="D49" s="284">
        <f>D37+D38</f>
        <v>1467.0693699999999</v>
      </c>
      <c r="E49" s="5">
        <f t="shared" si="0"/>
        <v>40.734275425093564</v>
      </c>
      <c r="F49" s="5">
        <f t="shared" si="1"/>
        <v>-2134.4906300000002</v>
      </c>
      <c r="G49" s="300"/>
    </row>
    <row r="50" spans="1:7" s="6" customFormat="1" ht="15.75" customHeight="1">
      <c r="A50" s="3"/>
      <c r="B50" s="21" t="s">
        <v>321</v>
      </c>
      <c r="C50" s="284">
        <f>C49-C95</f>
        <v>16.760440000000017</v>
      </c>
      <c r="D50" s="284">
        <f>D49-D95</f>
        <v>313.76288999999997</v>
      </c>
      <c r="E50" s="22"/>
      <c r="F50" s="22"/>
    </row>
    <row r="51" spans="1:7">
      <c r="A51" s="23"/>
      <c r="B51" s="24"/>
      <c r="C51" s="115"/>
      <c r="D51" s="25"/>
      <c r="E51" s="26"/>
      <c r="F51" s="27"/>
    </row>
    <row r="52" spans="1:7" ht="32.25" customHeight="1">
      <c r="A52" s="28" t="s">
        <v>1</v>
      </c>
      <c r="B52" s="28" t="s">
        <v>29</v>
      </c>
      <c r="C52" s="249" t="s">
        <v>346</v>
      </c>
      <c r="D52" s="73" t="s">
        <v>361</v>
      </c>
      <c r="E52" s="72" t="s">
        <v>3</v>
      </c>
      <c r="F52" s="74" t="s">
        <v>4</v>
      </c>
    </row>
    <row r="53" spans="1:7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7" s="6" customFormat="1" ht="16.5" customHeight="1">
      <c r="A54" s="30" t="s">
        <v>30</v>
      </c>
      <c r="B54" s="31" t="s">
        <v>31</v>
      </c>
      <c r="C54" s="32">
        <f>C55+C56+C57+C58+C59+C61+C60</f>
        <v>1135.8050000000001</v>
      </c>
      <c r="D54" s="33">
        <f>D56+D61</f>
        <v>425.33467999999999</v>
      </c>
      <c r="E54" s="34">
        <f>SUM(D54/C54*100)</f>
        <v>37.447861208570131</v>
      </c>
      <c r="F54" s="34">
        <f>SUM(D54-C54)</f>
        <v>-710.47032000000013</v>
      </c>
    </row>
    <row r="55" spans="1:7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7" ht="20.25" customHeight="1">
      <c r="A56" s="35" t="s">
        <v>34</v>
      </c>
      <c r="B56" s="39" t="s">
        <v>35</v>
      </c>
      <c r="C56" s="37">
        <v>1128.096</v>
      </c>
      <c r="D56" s="37">
        <v>422.62617999999998</v>
      </c>
      <c r="E56" s="38">
        <f>SUM(D56/C56*100)</f>
        <v>37.463671531500864</v>
      </c>
      <c r="F56" s="38">
        <f t="shared" ref="F56:F95" si="3">SUM(D56-C56)</f>
        <v>-705.46982000000003</v>
      </c>
    </row>
    <row r="57" spans="1:7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7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7" ht="0.75" hidden="1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7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7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7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28.711179999999999</v>
      </c>
      <c r="E62" s="34">
        <f t="shared" si="4"/>
        <v>40.670274098732207</v>
      </c>
      <c r="F62" s="34">
        <f t="shared" si="3"/>
        <v>-41.88382</v>
      </c>
    </row>
    <row r="63" spans="1:7" ht="17.850000000000001" customHeight="1">
      <c r="A63" s="43" t="s">
        <v>48</v>
      </c>
      <c r="B63" s="44" t="s">
        <v>49</v>
      </c>
      <c r="C63" s="37">
        <v>70.594999999999999</v>
      </c>
      <c r="D63" s="37">
        <v>28.711179999999999</v>
      </c>
      <c r="E63" s="38">
        <f t="shared" si="4"/>
        <v>40.670274098732207</v>
      </c>
      <c r="F63" s="38">
        <f t="shared" si="3"/>
        <v>-41.88382</v>
      </c>
    </row>
    <row r="64" spans="1:7" s="6" customFormat="1" ht="17.25" customHeight="1">
      <c r="A64" s="30" t="s">
        <v>50</v>
      </c>
      <c r="B64" s="31" t="s">
        <v>51</v>
      </c>
      <c r="C64" s="32">
        <f>C67+C68</f>
        <v>4</v>
      </c>
      <c r="D64" s="32">
        <f>SUM(D65:D67)</f>
        <v>0</v>
      </c>
      <c r="E64" s="34">
        <f t="shared" si="4"/>
        <v>0</v>
      </c>
      <c r="F64" s="34">
        <f t="shared" si="3"/>
        <v>-4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908.89756</v>
      </c>
      <c r="D69" s="48">
        <f>D70+D71+D72+D73</f>
        <v>165.5</v>
      </c>
      <c r="E69" s="34">
        <f t="shared" si="4"/>
        <v>18.20887273588896</v>
      </c>
      <c r="F69" s="34">
        <f t="shared" si="3"/>
        <v>-743.39756</v>
      </c>
    </row>
    <row r="70" spans="1:7" ht="16.5" customHeight="1">
      <c r="A70" s="35" t="s">
        <v>60</v>
      </c>
      <c r="B70" s="39" t="s">
        <v>61</v>
      </c>
      <c r="C70" s="49">
        <v>9.7089999999999996</v>
      </c>
      <c r="D70" s="37">
        <v>0</v>
      </c>
      <c r="E70" s="38">
        <f t="shared" si="4"/>
        <v>0</v>
      </c>
      <c r="F70" s="38">
        <f t="shared" si="3"/>
        <v>-9.7089999999999996</v>
      </c>
    </row>
    <row r="71" spans="1:7" s="6" customFormat="1" ht="19.5" hidden="1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879.18856000000005</v>
      </c>
      <c r="D72" s="37">
        <v>164.5</v>
      </c>
      <c r="E72" s="38">
        <f t="shared" si="4"/>
        <v>18.710434539776085</v>
      </c>
      <c r="F72" s="38">
        <f t="shared" si="3"/>
        <v>-714.68856000000005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184.80199999999999</v>
      </c>
      <c r="D74" s="32">
        <f>D77</f>
        <v>99.760620000000003</v>
      </c>
      <c r="E74" s="34">
        <f t="shared" si="4"/>
        <v>53.982435255029714</v>
      </c>
      <c r="F74" s="34">
        <f t="shared" si="3"/>
        <v>-85.04137999999999</v>
      </c>
    </row>
    <row r="75" spans="1:7" ht="15.75" hidden="1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hidden="1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f>126.571+53.231+5</f>
        <v>184.80199999999999</v>
      </c>
      <c r="D77" s="37">
        <v>99.760620000000003</v>
      </c>
      <c r="E77" s="38">
        <f t="shared" si="4"/>
        <v>53.982435255029714</v>
      </c>
      <c r="F77" s="38">
        <f t="shared" si="3"/>
        <v>-85.04137999999999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1277.7</v>
      </c>
      <c r="D78" s="32">
        <f>D79</f>
        <v>432</v>
      </c>
      <c r="E78" s="34">
        <f t="shared" si="4"/>
        <v>33.81075369805118</v>
      </c>
      <c r="F78" s="34">
        <f t="shared" si="3"/>
        <v>-845.7</v>
      </c>
    </row>
    <row r="79" spans="1:7" ht="15" customHeight="1">
      <c r="A79" s="35" t="s">
        <v>88</v>
      </c>
      <c r="B79" s="39" t="s">
        <v>234</v>
      </c>
      <c r="C79" s="37">
        <v>1277.7</v>
      </c>
      <c r="D79" s="37">
        <v>432</v>
      </c>
      <c r="E79" s="38">
        <f t="shared" si="4"/>
        <v>33.81075369805118</v>
      </c>
      <c r="F79" s="38">
        <f t="shared" si="3"/>
        <v>-845.7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40"/>
      <c r="D93" s="241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3">
        <f>C54+C62+C64+C69+C74+C78+C80+C85+C91</f>
        <v>3584.7995600000004</v>
      </c>
      <c r="D95" s="33">
        <f>D54+D62+D64+D69+D74+D78+D85</f>
        <v>1153.30648</v>
      </c>
      <c r="E95" s="34">
        <f t="shared" si="4"/>
        <v>32.172132937887319</v>
      </c>
      <c r="F95" s="34">
        <f t="shared" si="3"/>
        <v>-2431.4930800000002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</sheetData>
  <customSheetViews>
    <customSheetView guid="{A54C432C-6C68-4B53-A75C-446EB3A61B2B}" scale="70" showPageBreaks="1" hiddenRows="1" view="pageBreakPreview" topLeftCell="A45">
      <selection activeCell="C49" activeCellId="1" sqref="C95:D95 C49:D5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60" orientation="portrait" r:id="rId2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3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03"/>
  <sheetViews>
    <sheetView tabSelected="1" view="pageBreakPreview" zoomScale="70" zoomScaleSheetLayoutView="70" workbookViewId="0">
      <selection activeCell="G1" sqref="G1:G1048576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377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989.12</v>
      </c>
      <c r="D4" s="5">
        <f>D5+D12+D14+D17+D20+D7</f>
        <v>349.36955</v>
      </c>
      <c r="E4" s="5">
        <f>SUM(D4/C4*100)</f>
        <v>35.321250202199934</v>
      </c>
      <c r="F4" s="5">
        <f>SUM(D4-C4)</f>
        <v>-639.75045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37.602460000000001</v>
      </c>
      <c r="E5" s="5">
        <f t="shared" ref="E5:E51" si="0">SUM(D5/C5*100)</f>
        <v>39.456935991605455</v>
      </c>
      <c r="F5" s="5">
        <f t="shared" ref="F5:F51" si="1">SUM(D5-C5)</f>
        <v>-57.697539999999996</v>
      </c>
    </row>
    <row r="6" spans="1:6">
      <c r="A6" s="7">
        <v>1010200001</v>
      </c>
      <c r="B6" s="8" t="s">
        <v>229</v>
      </c>
      <c r="C6" s="9">
        <v>95.3</v>
      </c>
      <c r="D6" s="10">
        <v>37.602460000000001</v>
      </c>
      <c r="E6" s="9">
        <f t="shared" ref="E6:E11" si="2">SUM(D6/C6*100)</f>
        <v>39.456935991605455</v>
      </c>
      <c r="F6" s="9">
        <f t="shared" si="1"/>
        <v>-57.697539999999996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151.68072000000001</v>
      </c>
      <c r="E7" s="9">
        <f t="shared" si="2"/>
        <v>48.333668982219109</v>
      </c>
      <c r="F7" s="9">
        <f t="shared" si="1"/>
        <v>-162.13927999999999</v>
      </c>
    </row>
    <row r="8" spans="1:6">
      <c r="A8" s="7">
        <v>1030223001</v>
      </c>
      <c r="B8" s="8" t="s">
        <v>283</v>
      </c>
      <c r="C8" s="9">
        <v>117.05</v>
      </c>
      <c r="D8" s="10">
        <v>65.735219999999998</v>
      </c>
      <c r="E8" s="9">
        <f t="shared" si="2"/>
        <v>56.159948739854762</v>
      </c>
      <c r="F8" s="9">
        <f t="shared" si="1"/>
        <v>-51.314779999999999</v>
      </c>
    </row>
    <row r="9" spans="1:6">
      <c r="A9" s="7">
        <v>1030224001</v>
      </c>
      <c r="B9" s="8" t="s">
        <v>289</v>
      </c>
      <c r="C9" s="9">
        <v>1.26</v>
      </c>
      <c r="D9" s="10">
        <v>0.49836999999999998</v>
      </c>
      <c r="E9" s="9">
        <f t="shared" si="2"/>
        <v>39.553174603174604</v>
      </c>
      <c r="F9" s="9">
        <f t="shared" si="1"/>
        <v>-0.76163000000000003</v>
      </c>
    </row>
    <row r="10" spans="1:6">
      <c r="A10" s="7">
        <v>1030225001</v>
      </c>
      <c r="B10" s="8" t="s">
        <v>282</v>
      </c>
      <c r="C10" s="9">
        <v>195.51</v>
      </c>
      <c r="D10" s="10">
        <v>99.104950000000002</v>
      </c>
      <c r="E10" s="9">
        <f t="shared" si="2"/>
        <v>50.690476190476197</v>
      </c>
      <c r="F10" s="9">
        <f t="shared" si="1"/>
        <v>-96.405049999999989</v>
      </c>
    </row>
    <row r="11" spans="1:6">
      <c r="A11" s="7">
        <v>1030226001</v>
      </c>
      <c r="B11" s="8" t="s">
        <v>291</v>
      </c>
      <c r="C11" s="9">
        <v>0</v>
      </c>
      <c r="D11" s="10">
        <v>-13.657819999999999</v>
      </c>
      <c r="E11" s="9" t="e">
        <f t="shared" si="2"/>
        <v>#DIV/0!</v>
      </c>
      <c r="F11" s="9">
        <f t="shared" si="1"/>
        <v>-13.657819999999999</v>
      </c>
    </row>
    <row r="12" spans="1:6" s="6" customFormat="1">
      <c r="A12" s="68">
        <v>1050000000</v>
      </c>
      <c r="B12" s="67" t="s">
        <v>7</v>
      </c>
      <c r="C12" s="5">
        <f>SUM(C13:C13)</f>
        <v>35</v>
      </c>
      <c r="D12" s="5">
        <f>SUM(D13:D13)</f>
        <v>69.827370000000002</v>
      </c>
      <c r="E12" s="5">
        <f t="shared" si="0"/>
        <v>199.50677142857143</v>
      </c>
      <c r="F12" s="5">
        <f t="shared" si="1"/>
        <v>34.827370000000002</v>
      </c>
    </row>
    <row r="13" spans="1:6" ht="15.75" customHeight="1">
      <c r="A13" s="7">
        <v>1050300000</v>
      </c>
      <c r="B13" s="11" t="s">
        <v>230</v>
      </c>
      <c r="C13" s="12">
        <v>35</v>
      </c>
      <c r="D13" s="10">
        <v>69.827370000000002</v>
      </c>
      <c r="E13" s="9">
        <f t="shared" si="0"/>
        <v>199.50677142857143</v>
      </c>
      <c r="F13" s="9">
        <f t="shared" si="1"/>
        <v>34.827370000000002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83.658999999999992</v>
      </c>
      <c r="E14" s="9">
        <f t="shared" si="0"/>
        <v>15.63719626168224</v>
      </c>
      <c r="F14" s="9">
        <f t="shared" si="1"/>
        <v>-451.34100000000001</v>
      </c>
    </row>
    <row r="15" spans="1:6" s="6" customFormat="1" ht="15.75" customHeight="1">
      <c r="A15" s="7">
        <v>1060100000</v>
      </c>
      <c r="B15" s="11" t="s">
        <v>9</v>
      </c>
      <c r="C15" s="282">
        <v>75</v>
      </c>
      <c r="D15" s="10">
        <v>2.7284000000000002</v>
      </c>
      <c r="E15" s="9">
        <f>SUM(D15/C15*100)</f>
        <v>3.637866666666667</v>
      </c>
      <c r="F15" s="9">
        <f>SUM(D15-C14)</f>
        <v>-532.27160000000003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80.930599999999998</v>
      </c>
      <c r="E16" s="9">
        <f t="shared" si="0"/>
        <v>17.593608695652176</v>
      </c>
      <c r="F16" s="9">
        <f t="shared" si="1"/>
        <v>-379.06939999999997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6.6</v>
      </c>
      <c r="E17" s="5">
        <f t="shared" si="0"/>
        <v>65.999999999999986</v>
      </c>
      <c r="F17" s="5">
        <f t="shared" si="1"/>
        <v>-3.4000000000000004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6.6</v>
      </c>
      <c r="E18" s="9">
        <f t="shared" si="0"/>
        <v>65.999999999999986</v>
      </c>
      <c r="F18" s="9">
        <f t="shared" si="1"/>
        <v>-3.4000000000000004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82</v>
      </c>
      <c r="D25" s="5">
        <f>D26+D29+D31+D37-D34</f>
        <v>30.163450000000001</v>
      </c>
      <c r="E25" s="5">
        <f t="shared" si="0"/>
        <v>36.784695121951223</v>
      </c>
      <c r="F25" s="5">
        <f t="shared" si="1"/>
        <v>-51.836550000000003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13.965</v>
      </c>
      <c r="E26" s="5">
        <f t="shared" si="0"/>
        <v>17.030487804878046</v>
      </c>
      <c r="F26" s="5">
        <f t="shared" si="1"/>
        <v>-68.034999999999997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13.965</v>
      </c>
      <c r="E27" s="9">
        <f t="shared" si="0"/>
        <v>17.456250000000001</v>
      </c>
      <c r="F27" s="9">
        <f t="shared" si="1"/>
        <v>-66.034999999999997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16.19961</v>
      </c>
      <c r="E29" s="5" t="e">
        <f t="shared" si="0"/>
        <v>#DIV/0!</v>
      </c>
      <c r="F29" s="5">
        <f t="shared" si="1"/>
        <v>16.19961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16.19961</v>
      </c>
      <c r="E30" s="9" t="e">
        <f t="shared" si="0"/>
        <v>#DIV/0!</v>
      </c>
      <c r="F30" s="9">
        <f t="shared" si="1"/>
        <v>16.19961</v>
      </c>
    </row>
    <row r="31" spans="1:6" ht="22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 hidden="1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1071.1199999999999</v>
      </c>
      <c r="D40" s="127">
        <f>D4+D25</f>
        <v>379.53300000000002</v>
      </c>
      <c r="E40" s="5">
        <f t="shared" si="0"/>
        <v>35.433284786018376</v>
      </c>
      <c r="F40" s="5">
        <f t="shared" si="1"/>
        <v>-691.58699999999988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2587.5070000000001</v>
      </c>
      <c r="D41" s="5">
        <f>D42+D44+D45+D46+D47+D48+D43+D50</f>
        <v>1405.75</v>
      </c>
      <c r="E41" s="5">
        <f t="shared" si="0"/>
        <v>54.328355440197839</v>
      </c>
      <c r="F41" s="5">
        <f t="shared" si="1"/>
        <v>-1181.7570000000001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20">
        <v>1195.106</v>
      </c>
      <c r="E42" s="9">
        <f t="shared" si="0"/>
        <v>62.680505154817602</v>
      </c>
      <c r="F42" s="9">
        <f t="shared" si="1"/>
        <v>-711.55700000000002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573.79</v>
      </c>
      <c r="D44" s="10">
        <v>142.03800000000001</v>
      </c>
      <c r="E44" s="9">
        <f t="shared" si="0"/>
        <v>24.754352637724605</v>
      </c>
      <c r="F44" s="9">
        <f t="shared" si="1"/>
        <v>-431.75199999999995</v>
      </c>
    </row>
    <row r="45" spans="1:7" ht="15" customHeight="1">
      <c r="A45" s="16">
        <v>2023000000</v>
      </c>
      <c r="B45" s="17" t="s">
        <v>23</v>
      </c>
      <c r="C45" s="12">
        <v>73.953999999999994</v>
      </c>
      <c r="D45" s="252">
        <v>35.545999999999999</v>
      </c>
      <c r="E45" s="9">
        <f t="shared" si="0"/>
        <v>48.065013386699846</v>
      </c>
      <c r="F45" s="9">
        <f t="shared" si="1"/>
        <v>-38.407999999999994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8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93">
        <f>C40+C41</f>
        <v>3658.627</v>
      </c>
      <c r="D51" s="401">
        <f>D40+D41</f>
        <v>1785.2829999999999</v>
      </c>
      <c r="E51" s="93">
        <f t="shared" si="0"/>
        <v>48.796529408436548</v>
      </c>
      <c r="F51" s="93">
        <f t="shared" si="1"/>
        <v>-1873.3440000000001</v>
      </c>
      <c r="G51" s="300"/>
    </row>
    <row r="52" spans="1:7" s="6" customFormat="1">
      <c r="A52" s="3"/>
      <c r="B52" s="21" t="s">
        <v>321</v>
      </c>
      <c r="C52" s="93">
        <f>C51-C97</f>
        <v>-73.666529999999966</v>
      </c>
      <c r="D52" s="93">
        <f>D51-D97</f>
        <v>192.3581200000001</v>
      </c>
      <c r="E52" s="22"/>
      <c r="F52" s="22"/>
    </row>
    <row r="53" spans="1:7">
      <c r="A53" s="23"/>
      <c r="B53" s="24"/>
      <c r="C53" s="251"/>
      <c r="D53" s="251"/>
      <c r="E53" s="26"/>
      <c r="F53" s="27"/>
    </row>
    <row r="54" spans="1:7" ht="46.5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1291.3660000000002</v>
      </c>
      <c r="D56" s="33">
        <f>D57+D58+D59+D60+D61+D63+D62</f>
        <v>576.19853000000001</v>
      </c>
      <c r="E56" s="34">
        <f>SUM(D56/C56*100)</f>
        <v>44.619304674275142</v>
      </c>
      <c r="F56" s="34">
        <f>SUM(D56-C56)</f>
        <v>-715.16747000000021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1274.5630000000001</v>
      </c>
      <c r="D58" s="37">
        <v>564.85103000000004</v>
      </c>
      <c r="E58" s="38">
        <f t="shared" ref="E58:E97" si="3">SUM(D58/C58*100)</f>
        <v>44.317231082339589</v>
      </c>
      <c r="F58" s="38">
        <f t="shared" ref="F58:F97" si="4">SUM(D58-C58)</f>
        <v>-709.71197000000006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11.803000000000001</v>
      </c>
      <c r="D63" s="37">
        <v>11.3475</v>
      </c>
      <c r="E63" s="38">
        <f t="shared" si="3"/>
        <v>96.140811658053025</v>
      </c>
      <c r="F63" s="38">
        <f t="shared" si="4"/>
        <v>-0.45550000000000068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34.226469999999999</v>
      </c>
      <c r="E64" s="34">
        <f t="shared" si="3"/>
        <v>48.482852893264393</v>
      </c>
      <c r="F64" s="34">
        <f t="shared" si="4"/>
        <v>-36.36853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34.226469999999999</v>
      </c>
      <c r="E65" s="38">
        <f t="shared" si="3"/>
        <v>48.482852893264393</v>
      </c>
      <c r="F65" s="38">
        <f t="shared" si="4"/>
        <v>-36.36853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9.25</v>
      </c>
      <c r="D66" s="32">
        <f>D69+D70</f>
        <v>0.85</v>
      </c>
      <c r="E66" s="34">
        <f t="shared" si="3"/>
        <v>9.1891891891891877</v>
      </c>
      <c r="F66" s="34">
        <f t="shared" si="4"/>
        <v>-8.4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5</v>
      </c>
      <c r="D69" s="37">
        <v>0</v>
      </c>
      <c r="E69" s="38">
        <f t="shared" si="3"/>
        <v>0</v>
      </c>
      <c r="F69" s="38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0.85</v>
      </c>
      <c r="E70" s="38">
        <f t="shared" si="3"/>
        <v>20</v>
      </c>
      <c r="F70" s="38">
        <f t="shared" si="4"/>
        <v>-3.4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995.69153000000006</v>
      </c>
      <c r="D71" s="48">
        <f>SUM(D72:D75)</f>
        <v>274.03034000000002</v>
      </c>
      <c r="E71" s="34">
        <f t="shared" si="3"/>
        <v>27.521610031171001</v>
      </c>
      <c r="F71" s="34">
        <f t="shared" si="4"/>
        <v>-721.66119000000003</v>
      </c>
    </row>
    <row r="72" spans="1:7" ht="15.75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9.5" customHeight="1">
      <c r="A73" s="35" t="s">
        <v>62</v>
      </c>
      <c r="B73" s="39" t="s">
        <v>63</v>
      </c>
      <c r="C73" s="49">
        <v>79.168999999999997</v>
      </c>
      <c r="D73" s="37">
        <v>62.168340000000001</v>
      </c>
      <c r="E73" s="38">
        <f t="shared" si="3"/>
        <v>78.526115019767843</v>
      </c>
      <c r="F73" s="38">
        <f t="shared" si="4"/>
        <v>-17.000659999999996</v>
      </c>
      <c r="G73" s="50"/>
    </row>
    <row r="74" spans="1:7">
      <c r="A74" s="35" t="s">
        <v>64</v>
      </c>
      <c r="B74" s="39" t="s">
        <v>65</v>
      </c>
      <c r="C74" s="49">
        <v>844.95153000000005</v>
      </c>
      <c r="D74" s="37">
        <v>180</v>
      </c>
      <c r="E74" s="38">
        <f t="shared" si="3"/>
        <v>21.302997108011628</v>
      </c>
      <c r="F74" s="38">
        <f t="shared" si="4"/>
        <v>-664.95153000000005</v>
      </c>
    </row>
    <row r="75" spans="1:7" ht="16.5" customHeight="1">
      <c r="A75" s="35" t="s">
        <v>66</v>
      </c>
      <c r="B75" s="39" t="s">
        <v>67</v>
      </c>
      <c r="C75" s="49">
        <f>31.862+30</f>
        <v>61.861999999999995</v>
      </c>
      <c r="D75" s="37">
        <v>31.861999999999998</v>
      </c>
      <c r="E75" s="38">
        <f t="shared" si="3"/>
        <v>51.504962658821249</v>
      </c>
      <c r="F75" s="38">
        <f t="shared" si="4"/>
        <v>-29.999999999999996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490.59100000000001</v>
      </c>
      <c r="D76" s="32">
        <f>SUM(D77:D79)</f>
        <v>270.50054</v>
      </c>
      <c r="E76" s="34">
        <f t="shared" si="3"/>
        <v>55.137689032208094</v>
      </c>
      <c r="F76" s="34">
        <f t="shared" si="4"/>
        <v>-220.09046000000001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490.59100000000001</v>
      </c>
      <c r="D79" s="37">
        <v>270.50054</v>
      </c>
      <c r="E79" s="38">
        <f t="shared" si="3"/>
        <v>55.137689032208094</v>
      </c>
      <c r="F79" s="38">
        <f t="shared" si="4"/>
        <v>-220.09046000000001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436.404</v>
      </c>
      <c r="E80" s="34">
        <f t="shared" si="3"/>
        <v>50.000458295142067</v>
      </c>
      <c r="F80" s="34">
        <f t="shared" si="4"/>
        <v>-436.39599999999996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436.404</v>
      </c>
      <c r="E81" s="38">
        <f t="shared" si="3"/>
        <v>50.000458295142067</v>
      </c>
      <c r="F81" s="38">
        <f t="shared" si="4"/>
        <v>-436.39599999999996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402">
        <f>C56+C64+C66+C71+C76+C80+C82+C87+C93</f>
        <v>3732.2935299999999</v>
      </c>
      <c r="D97" s="402">
        <f>D56+D64+D66+D71+D76+D80+D82+D87+D93</f>
        <v>1592.9248799999998</v>
      </c>
      <c r="E97" s="34">
        <f t="shared" si="3"/>
        <v>42.679517760222893</v>
      </c>
      <c r="F97" s="34">
        <f t="shared" si="4"/>
        <v>-2139.3686500000003</v>
      </c>
    </row>
    <row r="98" spans="1:6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3" spans="1:6" ht="5.25" customHeight="1"/>
  </sheetData>
  <customSheetViews>
    <customSheetView guid="{A54C432C-6C68-4B53-A75C-446EB3A61B2B}" scale="70" showPageBreaks="1" hiddenRows="1" view="pageBreakPreview" topLeftCell="A56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5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3"/>
  <sheetViews>
    <sheetView view="pageBreakPreview" zoomScale="70" zoomScaleSheetLayoutView="70" workbookViewId="0">
      <selection sqref="A1:F1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3" t="s">
        <v>378</v>
      </c>
      <c r="B1" s="453"/>
      <c r="C1" s="453"/>
      <c r="D1" s="453"/>
      <c r="E1" s="453"/>
      <c r="F1" s="453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206.48652000000004</v>
      </c>
      <c r="E4" s="5">
        <f>SUM(D4/C4*100)</f>
        <v>28.372886665933834</v>
      </c>
      <c r="F4" s="5">
        <f>SUM(D4-C4)</f>
        <v>-521.27347999999995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14.943250000000001</v>
      </c>
      <c r="E5" s="5">
        <f t="shared" ref="E5:E51" si="0">SUM(D5/C5*100)</f>
        <v>44.740269461077844</v>
      </c>
      <c r="F5" s="5">
        <f t="shared" ref="F5:F51" si="1">SUM(D5-C5)</f>
        <v>-18.45675</v>
      </c>
    </row>
    <row r="6" spans="1:6">
      <c r="A6" s="7">
        <v>1010200001</v>
      </c>
      <c r="B6" s="8" t="s">
        <v>229</v>
      </c>
      <c r="C6" s="9">
        <v>33.4</v>
      </c>
      <c r="D6" s="10">
        <v>14.943250000000001</v>
      </c>
      <c r="E6" s="9">
        <f t="shared" ref="E6:E11" si="2">SUM(D6/C6*100)</f>
        <v>44.740269461077844</v>
      </c>
      <c r="F6" s="9">
        <f t="shared" si="1"/>
        <v>-18.45675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155.80809000000002</v>
      </c>
      <c r="E7" s="5">
        <f t="shared" si="2"/>
        <v>48.333568060553425</v>
      </c>
      <c r="F7" s="5">
        <f t="shared" si="1"/>
        <v>-166.55190999999999</v>
      </c>
    </row>
    <row r="8" spans="1:6">
      <c r="A8" s="7">
        <v>1030223001</v>
      </c>
      <c r="B8" s="8" t="s">
        <v>283</v>
      </c>
      <c r="C8" s="9">
        <v>120.24</v>
      </c>
      <c r="D8" s="10">
        <v>67.523889999999994</v>
      </c>
      <c r="E8" s="9">
        <f t="shared" si="2"/>
        <v>56.15759314703925</v>
      </c>
      <c r="F8" s="9">
        <f t="shared" si="1"/>
        <v>-52.71611</v>
      </c>
    </row>
    <row r="9" spans="1:6">
      <c r="A9" s="7">
        <v>1030224001</v>
      </c>
      <c r="B9" s="8" t="s">
        <v>289</v>
      </c>
      <c r="C9" s="9">
        <v>1.29</v>
      </c>
      <c r="D9" s="10">
        <v>0.51192000000000004</v>
      </c>
      <c r="E9" s="9">
        <f t="shared" si="2"/>
        <v>39.68372093023256</v>
      </c>
      <c r="F9" s="9">
        <f t="shared" si="1"/>
        <v>-0.77807999999999999</v>
      </c>
    </row>
    <row r="10" spans="1:6">
      <c r="A10" s="7">
        <v>1030225001</v>
      </c>
      <c r="B10" s="8" t="s">
        <v>282</v>
      </c>
      <c r="C10" s="9">
        <v>200.83</v>
      </c>
      <c r="D10" s="10">
        <v>101.80171</v>
      </c>
      <c r="E10" s="9">
        <f t="shared" si="2"/>
        <v>50.690489468704868</v>
      </c>
      <c r="F10" s="9">
        <f t="shared" si="1"/>
        <v>-99.028290000000013</v>
      </c>
    </row>
    <row r="11" spans="1:6">
      <c r="A11" s="7">
        <v>1030226001</v>
      </c>
      <c r="B11" s="8" t="s">
        <v>291</v>
      </c>
      <c r="C11" s="9">
        <v>0</v>
      </c>
      <c r="D11" s="10">
        <v>-14.02943</v>
      </c>
      <c r="E11" s="9" t="e">
        <f t="shared" si="2"/>
        <v>#DIV/0!</v>
      </c>
      <c r="F11" s="9">
        <f t="shared" si="1"/>
        <v>-14.02943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8.5609699999999993</v>
      </c>
      <c r="E12" s="5">
        <f t="shared" si="0"/>
        <v>85.609699999999989</v>
      </c>
      <c r="F12" s="5">
        <f t="shared" si="1"/>
        <v>-1.4390300000000007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8.5609699999999993</v>
      </c>
      <c r="E13" s="9">
        <f t="shared" si="0"/>
        <v>85.609699999999989</v>
      </c>
      <c r="F13" s="9">
        <f t="shared" si="1"/>
        <v>-1.4390300000000007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26.474209999999999</v>
      </c>
      <c r="E14" s="5">
        <f t="shared" si="0"/>
        <v>7.4575239436619718</v>
      </c>
      <c r="F14" s="5">
        <f t="shared" si="1"/>
        <v>-328.52579000000003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3.6221100000000002</v>
      </c>
      <c r="E15" s="9">
        <f t="shared" si="0"/>
        <v>9.055275</v>
      </c>
      <c r="F15" s="9">
        <f>SUM(D15-C15)</f>
        <v>-36.377890000000001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22.8521</v>
      </c>
      <c r="E16" s="9">
        <f t="shared" si="0"/>
        <v>7.2546349206349214</v>
      </c>
      <c r="F16" s="9">
        <f t="shared" si="1"/>
        <v>-292.14789999999999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0.7</v>
      </c>
      <c r="E17" s="5">
        <f t="shared" si="0"/>
        <v>10</v>
      </c>
      <c r="F17" s="5">
        <f t="shared" si="1"/>
        <v>-6.3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0.7</v>
      </c>
      <c r="E18" s="9">
        <f t="shared" si="0"/>
        <v>10</v>
      </c>
      <c r="F18" s="9">
        <f t="shared" si="1"/>
        <v>-6.3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182</v>
      </c>
      <c r="D25" s="5">
        <f>D26+D29+D31+D37+D34</f>
        <v>25.973610000000001</v>
      </c>
      <c r="E25" s="5">
        <f t="shared" si="0"/>
        <v>14.271214285714287</v>
      </c>
      <c r="F25" s="5">
        <f t="shared" si="1"/>
        <v>-156.02638999999999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19.519600000000001</v>
      </c>
      <c r="E26" s="5">
        <f t="shared" si="0"/>
        <v>14.787575757575757</v>
      </c>
      <c r="F26" s="5">
        <f t="shared" si="1"/>
        <v>-112.4804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13.005599999999999</v>
      </c>
      <c r="E28" s="9">
        <f t="shared" si="0"/>
        <v>76.503529411764703</v>
      </c>
      <c r="F28" s="9">
        <f t="shared" si="1"/>
        <v>-3.9944000000000006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6.5733199999999998</v>
      </c>
      <c r="E29" s="5">
        <f t="shared" si="0"/>
        <v>13.146639999999998</v>
      </c>
      <c r="F29" s="5">
        <f t="shared" si="1"/>
        <v>-43.426679999999998</v>
      </c>
    </row>
    <row r="30" spans="1:6" ht="18" customHeight="1">
      <c r="A30" s="7">
        <v>1130206005</v>
      </c>
      <c r="B30" s="8" t="s">
        <v>224</v>
      </c>
      <c r="C30" s="9">
        <v>50</v>
      </c>
      <c r="D30" s="10">
        <v>6.5733199999999998</v>
      </c>
      <c r="E30" s="9">
        <f t="shared" si="0"/>
        <v>13.146639999999998</v>
      </c>
      <c r="F30" s="9">
        <f t="shared" si="1"/>
        <v>-43.426679999999998</v>
      </c>
    </row>
    <row r="31" spans="1:6" ht="18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9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-0.12809999999999999</v>
      </c>
      <c r="E37" s="5" t="e">
        <f t="shared" si="0"/>
        <v>#DIV/0!</v>
      </c>
      <c r="F37" s="5">
        <f t="shared" si="1"/>
        <v>-0.12809999999999999</v>
      </c>
    </row>
    <row r="38" spans="1:7" ht="17.2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-0.12809999999999999</v>
      </c>
      <c r="E39" s="9" t="e">
        <f t="shared" si="0"/>
        <v>#DIV/0!</v>
      </c>
      <c r="F39" s="9">
        <f t="shared" si="1"/>
        <v>-0.12809999999999999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127">
        <f>D4+D25</f>
        <v>232.46013000000005</v>
      </c>
      <c r="E40" s="5">
        <f t="shared" si="0"/>
        <v>25.551808169187485</v>
      </c>
      <c r="F40" s="5">
        <f t="shared" si="1"/>
        <v>-677.29986999999994</v>
      </c>
    </row>
    <row r="41" spans="1:7" s="6" customFormat="1">
      <c r="A41" s="3">
        <v>2000000000</v>
      </c>
      <c r="B41" s="4" t="s">
        <v>20</v>
      </c>
      <c r="C41" s="5">
        <f>C42+C43+C44+C45+C46+C47+C50</f>
        <v>2539.241</v>
      </c>
      <c r="D41" s="5">
        <f>D42+D43+D44+D45+D46+D47+D50</f>
        <v>1178.498</v>
      </c>
      <c r="E41" s="5">
        <f t="shared" si="0"/>
        <v>46.411427666771296</v>
      </c>
      <c r="F41" s="5">
        <f t="shared" si="1"/>
        <v>-1360.7429999999999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20">
        <v>761.779</v>
      </c>
      <c r="E42" s="9">
        <f t="shared" si="0"/>
        <v>61.24777490299622</v>
      </c>
      <c r="F42" s="9">
        <f t="shared" si="1"/>
        <v>-481.98700000000008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200</v>
      </c>
      <c r="E43" s="9">
        <f t="shared" si="0"/>
        <v>50</v>
      </c>
      <c r="F43" s="9">
        <f t="shared" si="1"/>
        <v>-200</v>
      </c>
    </row>
    <row r="44" spans="1:7">
      <c r="A44" s="16">
        <v>2022000000</v>
      </c>
      <c r="B44" s="17" t="s">
        <v>22</v>
      </c>
      <c r="C44" s="12">
        <v>725.12</v>
      </c>
      <c r="D44" s="10">
        <v>84.072999999999993</v>
      </c>
      <c r="E44" s="9">
        <f t="shared" si="0"/>
        <v>11.594356796116504</v>
      </c>
      <c r="F44" s="9">
        <f t="shared" si="1"/>
        <v>-641.04700000000003</v>
      </c>
    </row>
    <row r="45" spans="1:7" ht="15" customHeight="1">
      <c r="A45" s="16">
        <v>2023000000</v>
      </c>
      <c r="B45" s="17" t="s">
        <v>23</v>
      </c>
      <c r="C45" s="12">
        <v>73.254999999999995</v>
      </c>
      <c r="D45" s="252">
        <v>35.545999999999999</v>
      </c>
      <c r="E45" s="9">
        <f t="shared" si="0"/>
        <v>48.523650262780698</v>
      </c>
      <c r="F45" s="9">
        <f t="shared" si="1"/>
        <v>-37.708999999999996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3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8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284">
        <f>C40+C41</f>
        <v>3449.0010000000002</v>
      </c>
      <c r="D51" s="404">
        <f>D40+D41</f>
        <v>1410.95813</v>
      </c>
      <c r="E51" s="93">
        <f t="shared" si="0"/>
        <v>40.90918297791157</v>
      </c>
      <c r="F51" s="93">
        <f t="shared" si="1"/>
        <v>-2038.0428700000002</v>
      </c>
      <c r="G51" s="94"/>
    </row>
    <row r="52" spans="1:7" s="6" customFormat="1" ht="16.5" customHeight="1">
      <c r="A52" s="3"/>
      <c r="B52" s="21" t="s">
        <v>322</v>
      </c>
      <c r="C52" s="284">
        <f>C51-C97</f>
        <v>85.545470000000932</v>
      </c>
      <c r="D52" s="284">
        <f>D51-D97</f>
        <v>229.35489999999982</v>
      </c>
      <c r="E52" s="285"/>
      <c r="F52" s="285"/>
    </row>
    <row r="53" spans="1:7">
      <c r="A53" s="23"/>
      <c r="B53" s="24"/>
      <c r="C53" s="333"/>
      <c r="D53" s="333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1107.6084999999998</v>
      </c>
      <c r="D56" s="33">
        <f>D57+D58+D59+D60+D61+D63+D62</f>
        <v>517.57235000000003</v>
      </c>
      <c r="E56" s="34">
        <f>SUM(D56/C56*100)</f>
        <v>46.728817086542776</v>
      </c>
      <c r="F56" s="34">
        <f>SUM(D56-C56)</f>
        <v>-590.03614999999979</v>
      </c>
    </row>
    <row r="57" spans="1:7" s="6" customFormat="1" ht="15.75" hidden="1" customHeight="1">
      <c r="A57" s="35" t="s">
        <v>32</v>
      </c>
      <c r="B57" s="36" t="s">
        <v>33</v>
      </c>
      <c r="C57" s="287"/>
      <c r="D57" s="287"/>
      <c r="E57" s="38"/>
      <c r="F57" s="38"/>
    </row>
    <row r="58" spans="1:7" ht="17.25" customHeight="1">
      <c r="A58" s="35" t="s">
        <v>34</v>
      </c>
      <c r="B58" s="39" t="s">
        <v>35</v>
      </c>
      <c r="C58" s="287">
        <v>1100.9659999999999</v>
      </c>
      <c r="D58" s="287">
        <v>511.92984999999999</v>
      </c>
      <c r="E58" s="38">
        <f t="shared" ref="E58:E97" si="3">SUM(D58/C58*100)</f>
        <v>46.498243360830401</v>
      </c>
      <c r="F58" s="38">
        <f t="shared" ref="F58:F97" si="4">SUM(D58-C58)</f>
        <v>-589.03614999999991</v>
      </c>
    </row>
    <row r="59" spans="1:7" ht="17.25" hidden="1" customHeight="1">
      <c r="A59" s="35" t="s">
        <v>36</v>
      </c>
      <c r="B59" s="39" t="s">
        <v>37</v>
      </c>
      <c r="C59" s="287"/>
      <c r="D59" s="287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7"/>
      <c r="D60" s="28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287">
        <v>0</v>
      </c>
      <c r="D61" s="28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288">
        <v>1</v>
      </c>
      <c r="D62" s="288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7">
        <v>5.6425000000000001</v>
      </c>
      <c r="D63" s="287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33.630549999999999</v>
      </c>
      <c r="E64" s="34">
        <f t="shared" si="3"/>
        <v>47.638038982378603</v>
      </c>
      <c r="F64" s="34">
        <f t="shared" si="4"/>
        <v>-36.965450000000004</v>
      </c>
    </row>
    <row r="65" spans="1:9">
      <c r="A65" s="43" t="s">
        <v>48</v>
      </c>
      <c r="B65" s="44" t="s">
        <v>49</v>
      </c>
      <c r="C65" s="287">
        <v>70.596000000000004</v>
      </c>
      <c r="D65" s="287">
        <v>33.630549999999999</v>
      </c>
      <c r="E65" s="38">
        <f t="shared" si="3"/>
        <v>47.638038982378603</v>
      </c>
      <c r="F65" s="38">
        <f t="shared" si="4"/>
        <v>-36.965450000000004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4</v>
      </c>
      <c r="D66" s="33">
        <f>D69+D70</f>
        <v>0</v>
      </c>
      <c r="E66" s="34">
        <f t="shared" si="3"/>
        <v>0</v>
      </c>
      <c r="F66" s="34">
        <f t="shared" si="4"/>
        <v>-4</v>
      </c>
    </row>
    <row r="67" spans="1:9" ht="1.5" hidden="1" customHeight="1">
      <c r="A67" s="35" t="s">
        <v>52</v>
      </c>
      <c r="B67" s="39" t="s">
        <v>53</v>
      </c>
      <c r="C67" s="287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7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9">
        <v>2</v>
      </c>
      <c r="D69" s="33">
        <v>0</v>
      </c>
      <c r="E69" s="34">
        <f t="shared" si="3"/>
        <v>0</v>
      </c>
      <c r="F69" s="34">
        <f t="shared" si="4"/>
        <v>-2</v>
      </c>
    </row>
    <row r="70" spans="1:9">
      <c r="A70" s="46" t="s">
        <v>219</v>
      </c>
      <c r="B70" s="47" t="s">
        <v>220</v>
      </c>
      <c r="C70" s="287">
        <v>2</v>
      </c>
      <c r="D70" s="287">
        <v>0</v>
      </c>
      <c r="E70" s="34">
        <f t="shared" si="3"/>
        <v>0</v>
      </c>
      <c r="F70" s="34">
        <f t="shared" si="4"/>
        <v>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1271.14553</v>
      </c>
      <c r="D71" s="33">
        <f>SUM(D72:D75)</f>
        <v>206.80335000000002</v>
      </c>
      <c r="E71" s="34">
        <f t="shared" si="3"/>
        <v>16.269053788042669</v>
      </c>
      <c r="F71" s="34">
        <f t="shared" si="4"/>
        <v>-1064.3421800000001</v>
      </c>
      <c r="I71" s="108"/>
    </row>
    <row r="72" spans="1:9" ht="15.75" customHeight="1">
      <c r="A72" s="35" t="s">
        <v>60</v>
      </c>
      <c r="B72" s="39" t="s">
        <v>61</v>
      </c>
      <c r="C72" s="287">
        <v>8.2590000000000003</v>
      </c>
      <c r="D72" s="287">
        <v>2.8</v>
      </c>
      <c r="E72" s="38">
        <f t="shared" si="3"/>
        <v>33.902409492674657</v>
      </c>
      <c r="F72" s="38">
        <f t="shared" si="4"/>
        <v>-5.4590000000000005</v>
      </c>
    </row>
    <row r="73" spans="1:9" s="6" customFormat="1" ht="19.5" customHeight="1">
      <c r="A73" s="35" t="s">
        <v>62</v>
      </c>
      <c r="B73" s="39" t="s">
        <v>63</v>
      </c>
      <c r="C73" s="287">
        <v>60</v>
      </c>
      <c r="D73" s="287">
        <v>5.6929699999999999</v>
      </c>
      <c r="E73" s="38">
        <f t="shared" si="3"/>
        <v>9.4882833333333334</v>
      </c>
      <c r="F73" s="38">
        <f t="shared" si="4"/>
        <v>-54.307029999999997</v>
      </c>
      <c r="G73" s="50"/>
    </row>
    <row r="74" spans="1:9">
      <c r="A74" s="35" t="s">
        <v>64</v>
      </c>
      <c r="B74" s="39" t="s">
        <v>65</v>
      </c>
      <c r="C74" s="287">
        <v>1130.08653</v>
      </c>
      <c r="D74" s="287">
        <v>192.31038000000001</v>
      </c>
      <c r="E74" s="38">
        <f t="shared" si="3"/>
        <v>17.017314594485079</v>
      </c>
      <c r="F74" s="38">
        <f t="shared" si="4"/>
        <v>-937.77615000000003</v>
      </c>
    </row>
    <row r="75" spans="1:9">
      <c r="A75" s="35" t="s">
        <v>66</v>
      </c>
      <c r="B75" s="39" t="s">
        <v>67</v>
      </c>
      <c r="C75" s="287">
        <v>72.8</v>
      </c>
      <c r="D75" s="287">
        <v>6</v>
      </c>
      <c r="E75" s="38">
        <f t="shared" si="3"/>
        <v>8.2417582417582409</v>
      </c>
      <c r="F75" s="38">
        <f t="shared" si="4"/>
        <v>-66.8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211.602</v>
      </c>
      <c r="D76" s="33">
        <f>SUM(D77:D79)</f>
        <v>80.895979999999994</v>
      </c>
      <c r="E76" s="34">
        <f t="shared" si="3"/>
        <v>38.230253022183156</v>
      </c>
      <c r="F76" s="34">
        <f t="shared" si="4"/>
        <v>-130.70602000000002</v>
      </c>
    </row>
    <row r="77" spans="1:9" ht="15" hidden="1" customHeight="1">
      <c r="A77" s="35" t="s">
        <v>70</v>
      </c>
      <c r="B77" s="51" t="s">
        <v>71</v>
      </c>
      <c r="C77" s="287"/>
      <c r="D77" s="287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7"/>
      <c r="D78" s="287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7">
        <v>211.602</v>
      </c>
      <c r="D79" s="287">
        <v>80.895979999999994</v>
      </c>
      <c r="E79" s="38">
        <f t="shared" si="3"/>
        <v>38.230253022183156</v>
      </c>
      <c r="F79" s="38">
        <f t="shared" si="4"/>
        <v>-130.70602000000002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333.70299999999997</v>
      </c>
      <c r="E80" s="34">
        <f t="shared" si="3"/>
        <v>48.397578837525842</v>
      </c>
      <c r="F80" s="34">
        <f t="shared" si="4"/>
        <v>-355.80050000000006</v>
      </c>
    </row>
    <row r="81" spans="1:12" ht="15.75" customHeight="1">
      <c r="A81" s="35" t="s">
        <v>88</v>
      </c>
      <c r="B81" s="39" t="s">
        <v>234</v>
      </c>
      <c r="C81" s="287">
        <v>689.50350000000003</v>
      </c>
      <c r="D81" s="287">
        <v>333.70299999999997</v>
      </c>
      <c r="E81" s="38">
        <f t="shared" si="3"/>
        <v>48.397578837525842</v>
      </c>
      <c r="F81" s="38">
        <f t="shared" si="4"/>
        <v>-355.80050000000006</v>
      </c>
      <c r="L81" s="107"/>
    </row>
    <row r="82" spans="1:12" s="6" customFormat="1" ht="1.5" hidden="1" customHeight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t="15" hidden="1" customHeight="1">
      <c r="A83" s="53">
        <v>1001</v>
      </c>
      <c r="B83" s="54" t="s">
        <v>90</v>
      </c>
      <c r="C83" s="287"/>
      <c r="D83" s="287"/>
      <c r="E83" s="367" t="e">
        <f>SUM(D83/C83*100)</f>
        <v>#DIV/0!</v>
      </c>
      <c r="F83" s="367">
        <f>SUM(D83-C83)</f>
        <v>0</v>
      </c>
    </row>
    <row r="84" spans="1:12" ht="17.25" hidden="1" customHeight="1">
      <c r="A84" s="53">
        <v>1003</v>
      </c>
      <c r="B84" s="54" t="s">
        <v>91</v>
      </c>
      <c r="C84" s="287"/>
      <c r="D84" s="287"/>
      <c r="E84" s="367" t="e">
        <f>SUM(D84/C84*100)</f>
        <v>#DIV/0!</v>
      </c>
      <c r="F84" s="367">
        <f>SUM(D84-C84)</f>
        <v>0</v>
      </c>
    </row>
    <row r="85" spans="1:12" ht="17.25" hidden="1" customHeight="1">
      <c r="A85" s="53">
        <v>1004</v>
      </c>
      <c r="B85" s="54" t="s">
        <v>92</v>
      </c>
      <c r="C85" s="287"/>
      <c r="D85" s="290"/>
      <c r="E85" s="367" t="e">
        <f>SUM(D85/C85*100)</f>
        <v>#DIV/0!</v>
      </c>
      <c r="F85" s="367">
        <f>SUM(D85-C85)</f>
        <v>0</v>
      </c>
    </row>
    <row r="86" spans="1:12" ht="15" hidden="1" customHeight="1">
      <c r="A86" s="35" t="s">
        <v>93</v>
      </c>
      <c r="B86" s="39" t="s">
        <v>94</v>
      </c>
      <c r="C86" s="287">
        <v>5</v>
      </c>
      <c r="D86" s="287">
        <v>5</v>
      </c>
      <c r="E86" s="367">
        <f>SUM(D86/C86*100)</f>
        <v>100</v>
      </c>
      <c r="F86" s="367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7">
        <v>4</v>
      </c>
      <c r="D88" s="287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7"/>
      <c r="D89" s="287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7"/>
      <c r="D90" s="287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7"/>
      <c r="D91" s="287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7"/>
      <c r="D92" s="287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7"/>
      <c r="D94" s="287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7"/>
      <c r="D95" s="287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7"/>
      <c r="D96" s="287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3">
        <f>C56+C64+C66+C71+C76+C80+C87+C82</f>
        <v>3363.4555299999993</v>
      </c>
      <c r="D97" s="33">
        <f>D56+D64+D66+D71+D76+D80+D87+D82</f>
        <v>1181.6032300000002</v>
      </c>
      <c r="E97" s="34">
        <f t="shared" si="3"/>
        <v>35.130633345998199</v>
      </c>
      <c r="F97" s="34">
        <f t="shared" si="4"/>
        <v>-2181.8522999999991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</sheetData>
  <customSheetViews>
    <customSheetView guid="{A54C432C-6C68-4B53-A75C-446EB3A61B2B}" scale="70" showPageBreaks="1" hiddenRows="1" view="pageBreakPreview" topLeftCell="A64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cale="70" showPageBreaks="1" hiddenRows="1" view="pageBreakPreview" topLeftCell="A18">
      <selection activeCell="C97" sqref="C97:D97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5" orientation="portrait" r:id="rId5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view="pageBreakPreview" zoomScale="70" zoomScaleSheetLayoutView="70" workbookViewId="0">
      <selection sqref="A1:F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379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2400.41</v>
      </c>
      <c r="D4" s="5">
        <f>D5+D12+D14+D17+D7</f>
        <v>715.42637999999988</v>
      </c>
      <c r="E4" s="5">
        <f>SUM(D4/C4*100)</f>
        <v>29.80434092509196</v>
      </c>
      <c r="F4" s="5">
        <f>SUM(D4-C4)</f>
        <v>-1684.98362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59.27881</v>
      </c>
      <c r="E5" s="5">
        <f t="shared" ref="E5:E50" si="0">SUM(D5/C5*100)</f>
        <v>51.771886462882101</v>
      </c>
      <c r="F5" s="5">
        <f t="shared" ref="F5:F50" si="1">SUM(D5-C5)</f>
        <v>-55.22119</v>
      </c>
    </row>
    <row r="6" spans="1:6">
      <c r="A6" s="7">
        <v>1010200001</v>
      </c>
      <c r="B6" s="8" t="s">
        <v>229</v>
      </c>
      <c r="C6" s="9">
        <v>114.5</v>
      </c>
      <c r="D6" s="10">
        <v>59.27881</v>
      </c>
      <c r="E6" s="9">
        <f t="shared" ref="E6:E11" si="2">SUM(D6/C6*100)</f>
        <v>51.771886462882101</v>
      </c>
      <c r="F6" s="9">
        <f t="shared" si="1"/>
        <v>-55.22119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240.41903999999997</v>
      </c>
      <c r="E7" s="5">
        <f t="shared" si="2"/>
        <v>48.334179047465867</v>
      </c>
      <c r="F7" s="5">
        <f t="shared" si="1"/>
        <v>-256.99095999999997</v>
      </c>
    </row>
    <row r="8" spans="1:6">
      <c r="A8" s="7">
        <v>1030223001</v>
      </c>
      <c r="B8" s="8" t="s">
        <v>283</v>
      </c>
      <c r="C8" s="9">
        <v>185.53</v>
      </c>
      <c r="D8" s="10">
        <v>104.19253</v>
      </c>
      <c r="E8" s="9">
        <f t="shared" si="2"/>
        <v>56.159397402037406</v>
      </c>
      <c r="F8" s="9">
        <f t="shared" si="1"/>
        <v>-81.337469999999996</v>
      </c>
    </row>
    <row r="9" spans="1:6">
      <c r="A9" s="7">
        <v>1030224001</v>
      </c>
      <c r="B9" s="8" t="s">
        <v>289</v>
      </c>
      <c r="C9" s="9">
        <v>2</v>
      </c>
      <c r="D9" s="10">
        <v>0.78986000000000001</v>
      </c>
      <c r="E9" s="9">
        <f t="shared" si="2"/>
        <v>39.493000000000002</v>
      </c>
      <c r="F9" s="9">
        <f t="shared" si="1"/>
        <v>-1.21014</v>
      </c>
    </row>
    <row r="10" spans="1:6">
      <c r="A10" s="7">
        <v>1030225001</v>
      </c>
      <c r="B10" s="8" t="s">
        <v>282</v>
      </c>
      <c r="C10" s="9">
        <v>309.88</v>
      </c>
      <c r="D10" s="10">
        <v>157.08475999999999</v>
      </c>
      <c r="E10" s="9">
        <f t="shared" si="2"/>
        <v>50.692125984251966</v>
      </c>
      <c r="F10" s="9">
        <f t="shared" si="1"/>
        <v>-152.79524000000001</v>
      </c>
    </row>
    <row r="11" spans="1:6">
      <c r="A11" s="7">
        <v>1030226001</v>
      </c>
      <c r="B11" s="8" t="s">
        <v>291</v>
      </c>
      <c r="C11" s="9">
        <v>0</v>
      </c>
      <c r="D11" s="10">
        <v>-21.648109999999999</v>
      </c>
      <c r="E11" s="9" t="e">
        <f t="shared" si="2"/>
        <v>#DIV/0!</v>
      </c>
      <c r="F11" s="9">
        <f t="shared" si="1"/>
        <v>-21.648109999999999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27.170999999999999</v>
      </c>
      <c r="E12" s="5">
        <f t="shared" si="0"/>
        <v>181.14</v>
      </c>
      <c r="F12" s="5">
        <f t="shared" si="1"/>
        <v>12.170999999999999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27.170999999999999</v>
      </c>
      <c r="E13" s="9">
        <f t="shared" si="0"/>
        <v>181.14</v>
      </c>
      <c r="F13" s="9">
        <f t="shared" si="1"/>
        <v>12.170999999999999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383.15752999999995</v>
      </c>
      <c r="E14" s="5">
        <f t="shared" si="0"/>
        <v>21.751775759296052</v>
      </c>
      <c r="F14" s="5">
        <f t="shared" si="1"/>
        <v>-1378.34247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39.006</v>
      </c>
      <c r="E15" s="9">
        <f t="shared" si="0"/>
        <v>26.003999999999998</v>
      </c>
      <c r="F15" s="9">
        <f>SUM(D15-C15)</f>
        <v>-110.994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344.15152999999998</v>
      </c>
      <c r="E16" s="9">
        <f t="shared" si="0"/>
        <v>21.355974557865341</v>
      </c>
      <c r="F16" s="9">
        <f t="shared" si="1"/>
        <v>-1267.3484699999999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5.4</v>
      </c>
      <c r="E17" s="5">
        <f t="shared" si="0"/>
        <v>45</v>
      </c>
      <c r="F17" s="5">
        <f t="shared" si="1"/>
        <v>-6.6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5.4</v>
      </c>
      <c r="E18" s="9">
        <f t="shared" si="0"/>
        <v>45</v>
      </c>
      <c r="F18" s="9">
        <f t="shared" si="1"/>
        <v>-6.6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250</v>
      </c>
      <c r="D25" s="5">
        <f>D26+D29+D31+D36+D34</f>
        <v>81.312370000000001</v>
      </c>
      <c r="E25" s="5">
        <f t="shared" si="0"/>
        <v>32.524947999999995</v>
      </c>
      <c r="F25" s="5">
        <f t="shared" si="1"/>
        <v>-168.68763000000001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37.7425</v>
      </c>
      <c r="E26" s="5">
        <f t="shared" si="0"/>
        <v>15.097</v>
      </c>
      <c r="F26" s="5">
        <f t="shared" si="1"/>
        <v>-212.25749999999999</v>
      </c>
    </row>
    <row r="27" spans="1:6">
      <c r="A27" s="16">
        <v>1110502510</v>
      </c>
      <c r="B27" s="17" t="s">
        <v>226</v>
      </c>
      <c r="C27" s="12">
        <v>220</v>
      </c>
      <c r="D27" s="10">
        <v>15.474</v>
      </c>
      <c r="E27" s="9">
        <f t="shared" si="0"/>
        <v>7.0336363636363641</v>
      </c>
      <c r="F27" s="9">
        <f t="shared" si="1"/>
        <v>-204.52600000000001</v>
      </c>
    </row>
    <row r="28" spans="1:6">
      <c r="A28" s="7">
        <v>1110503510</v>
      </c>
      <c r="B28" s="11" t="s">
        <v>225</v>
      </c>
      <c r="C28" s="12">
        <v>30</v>
      </c>
      <c r="D28" s="10">
        <v>22.2685</v>
      </c>
      <c r="E28" s="9">
        <f t="shared" si="0"/>
        <v>74.228333333333325</v>
      </c>
      <c r="F28" s="9">
        <f t="shared" si="1"/>
        <v>-7.7315000000000005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42.989870000000003</v>
      </c>
      <c r="E29" s="5" t="e">
        <f t="shared" si="0"/>
        <v>#DIV/0!</v>
      </c>
      <c r="F29" s="5">
        <f t="shared" si="1"/>
        <v>42.989870000000003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42.989870000000003</v>
      </c>
      <c r="E30" s="9" t="e">
        <f t="shared" si="0"/>
        <v>#DIV/0!</v>
      </c>
      <c r="F30" s="9">
        <f t="shared" si="1"/>
        <v>42.989870000000003</v>
      </c>
    </row>
    <row r="31" spans="1:6" ht="0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hidden="1" customHeight="1">
      <c r="A34" s="3">
        <v>1160000000</v>
      </c>
      <c r="B34" s="13" t="s">
        <v>252</v>
      </c>
      <c r="C34" s="9">
        <v>0</v>
      </c>
      <c r="D34" s="10">
        <f>D35</f>
        <v>0</v>
      </c>
      <c r="E34" s="9" t="e">
        <f t="shared" si="0"/>
        <v>#DIV/0!</v>
      </c>
      <c r="F34" s="9">
        <f t="shared" si="1"/>
        <v>0</v>
      </c>
    </row>
    <row r="35" spans="1:7" ht="0.7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hidden="1" customHeight="1">
      <c r="A36" s="3">
        <v>1170000000</v>
      </c>
      <c r="B36" s="13" t="s">
        <v>135</v>
      </c>
      <c r="C36" s="5">
        <f>C37+C38</f>
        <v>0</v>
      </c>
      <c r="D36" s="5">
        <f>D37+D38</f>
        <v>0.57999999999999996</v>
      </c>
      <c r="E36" s="9" t="e">
        <f t="shared" si="0"/>
        <v>#DIV/0!</v>
      </c>
      <c r="F36" s="5">
        <f t="shared" si="1"/>
        <v>0.57999999999999996</v>
      </c>
    </row>
    <row r="37" spans="1:7" ht="18" hidden="1" customHeight="1">
      <c r="A37" s="7">
        <v>1170105005</v>
      </c>
      <c r="B37" s="8" t="s">
        <v>18</v>
      </c>
      <c r="C37" s="9">
        <f>C38</f>
        <v>0</v>
      </c>
      <c r="D37" s="9">
        <v>0.57999999999999996</v>
      </c>
      <c r="E37" s="9" t="e">
        <f t="shared" si="0"/>
        <v>#DIV/0!</v>
      </c>
      <c r="F37" s="9">
        <f t="shared" si="1"/>
        <v>0.57999999999999996</v>
      </c>
    </row>
    <row r="38" spans="1:7" ht="1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2650.41</v>
      </c>
      <c r="D39" s="127">
        <f>SUM(D4,D25)</f>
        <v>796.73874999999987</v>
      </c>
      <c r="E39" s="5">
        <f t="shared" si="0"/>
        <v>30.060962266215412</v>
      </c>
      <c r="F39" s="5">
        <f t="shared" si="1"/>
        <v>-1853.6712499999999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2028.018</v>
      </c>
      <c r="D40" s="5">
        <f>D41+D42+D43+D44+D48+D47</f>
        <v>493.86624999999998</v>
      </c>
      <c r="E40" s="5">
        <f t="shared" si="0"/>
        <v>24.352163047862494</v>
      </c>
      <c r="F40" s="5">
        <f t="shared" si="1"/>
        <v>-1534.15175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20">
        <v>632.57899999999995</v>
      </c>
      <c r="E41" s="9">
        <f t="shared" si="0"/>
        <v>73.628127204203196</v>
      </c>
      <c r="F41" s="9">
        <f t="shared" si="1"/>
        <v>-226.57500000000005</v>
      </c>
    </row>
    <row r="42" spans="1:7" ht="15" customHeight="1">
      <c r="A42" s="16">
        <v>2021500200</v>
      </c>
      <c r="B42" s="17" t="s">
        <v>232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22</v>
      </c>
      <c r="C43" s="12">
        <v>457.19</v>
      </c>
      <c r="D43" s="10">
        <v>48.427</v>
      </c>
      <c r="E43" s="9">
        <f t="shared" si="0"/>
        <v>10.592313917627244</v>
      </c>
      <c r="F43" s="9">
        <f t="shared" si="1"/>
        <v>-408.76299999999998</v>
      </c>
    </row>
    <row r="44" spans="1:7" ht="18.75" customHeight="1">
      <c r="A44" s="16">
        <v>2023000000</v>
      </c>
      <c r="B44" s="17" t="s">
        <v>23</v>
      </c>
      <c r="C44" s="12">
        <v>71.573999999999998</v>
      </c>
      <c r="D44" s="252">
        <v>35.545999999999999</v>
      </c>
      <c r="E44" s="9">
        <f t="shared" si="0"/>
        <v>49.663285550618937</v>
      </c>
      <c r="F44" s="9">
        <f t="shared" si="1"/>
        <v>-36.027999999999999</v>
      </c>
    </row>
    <row r="45" spans="1:7" ht="15.75" hidden="1" customHeight="1">
      <c r="A45" s="16">
        <v>2020400000</v>
      </c>
      <c r="B45" s="17" t="s">
        <v>24</v>
      </c>
      <c r="C45" s="12">
        <v>0</v>
      </c>
      <c r="D45" s="253">
        <v>0</v>
      </c>
      <c r="E45" s="9" t="e">
        <f t="shared" si="0"/>
        <v>#DIV/0!</v>
      </c>
      <c r="F45" s="9">
        <f t="shared" si="1"/>
        <v>0</v>
      </c>
    </row>
    <row r="46" spans="1:7" ht="0.75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t="16.5" customHeight="1">
      <c r="A47" s="7">
        <v>2190500005</v>
      </c>
      <c r="B47" s="11" t="s">
        <v>26</v>
      </c>
      <c r="C47" s="10">
        <v>0</v>
      </c>
      <c r="D47" s="10">
        <v>-262.74074999999999</v>
      </c>
      <c r="E47" s="5" t="e">
        <f t="shared" si="0"/>
        <v>#DIV/0!</v>
      </c>
      <c r="F47" s="5">
        <f>SUM(D47-C47)</f>
        <v>-262.74074999999999</v>
      </c>
    </row>
    <row r="48" spans="1:7" ht="19.5" customHeight="1">
      <c r="A48" s="7">
        <v>2070502010</v>
      </c>
      <c r="B48" s="11" t="s">
        <v>303</v>
      </c>
      <c r="C48" s="10">
        <v>40.1</v>
      </c>
      <c r="D48" s="10">
        <v>40.055</v>
      </c>
      <c r="E48" s="9">
        <f>SUM(D48/C48*100)</f>
        <v>99.887780548628427</v>
      </c>
      <c r="F48" s="9">
        <f>SUM(D48-C48)</f>
        <v>-4.5000000000001705E-2</v>
      </c>
    </row>
    <row r="49" spans="1:7" s="6" customFormat="1" ht="0.75" hidden="1" customHeight="1">
      <c r="A49" s="368">
        <v>2190000010</v>
      </c>
      <c r="B49" s="369" t="s">
        <v>26</v>
      </c>
      <c r="C49" s="12">
        <v>0</v>
      </c>
      <c r="D49" s="10">
        <v>-262.74074999999999</v>
      </c>
      <c r="E49" s="9" t="e">
        <f t="shared" si="0"/>
        <v>#DIV/0!</v>
      </c>
      <c r="F49" s="9">
        <f t="shared" si="1"/>
        <v>-262.74074999999999</v>
      </c>
    </row>
    <row r="50" spans="1:7" s="6" customFormat="1" ht="19.5" customHeight="1">
      <c r="A50" s="3"/>
      <c r="B50" s="4" t="s">
        <v>28</v>
      </c>
      <c r="C50" s="93">
        <f>C39+C40</f>
        <v>4678.4279999999999</v>
      </c>
      <c r="D50" s="401">
        <f>D39+D40</f>
        <v>1290.6049999999998</v>
      </c>
      <c r="E50" s="5">
        <f t="shared" si="0"/>
        <v>27.586296080649308</v>
      </c>
      <c r="F50" s="5">
        <f t="shared" si="1"/>
        <v>-3387.8230000000003</v>
      </c>
      <c r="G50" s="94"/>
    </row>
    <row r="51" spans="1:7" s="6" customFormat="1">
      <c r="A51" s="3"/>
      <c r="B51" s="21" t="s">
        <v>321</v>
      </c>
      <c r="C51" s="93">
        <f>C50-C96</f>
        <v>-646.64892000000054</v>
      </c>
      <c r="D51" s="93">
        <f>D50-D96</f>
        <v>-317.51210000000037</v>
      </c>
      <c r="E51" s="22"/>
      <c r="F51" s="22"/>
    </row>
    <row r="52" spans="1:7">
      <c r="A52" s="23"/>
      <c r="B52" s="24"/>
      <c r="C52" s="357"/>
      <c r="D52" s="357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4" t="s">
        <v>346</v>
      </c>
      <c r="D53" s="245" t="s">
        <v>361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7">
        <f>C56+C57+C58+C59+C60+C62+C61</f>
        <v>1438.34</v>
      </c>
      <c r="D55" s="32">
        <f>D56+D57+D58+D59+D60+D62+D61</f>
        <v>644.34231999999997</v>
      </c>
      <c r="E55" s="34">
        <f>SUM(D55/C55*100)</f>
        <v>44.797636163911179</v>
      </c>
      <c r="F55" s="34">
        <f>SUM(D55-C55)</f>
        <v>-793.99767999999995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1429.154</v>
      </c>
      <c r="D57" s="37">
        <v>640.58381999999995</v>
      </c>
      <c r="E57" s="34">
        <f>SUM(D57/C57*100)</f>
        <v>44.822588748308434</v>
      </c>
      <c r="F57" s="38">
        <f t="shared" ref="F57:F96" si="3">SUM(D57-C57)</f>
        <v>-788.57018000000005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 hidden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4.1859999999999999</v>
      </c>
      <c r="D62" s="37">
        <v>3.7585000000000002</v>
      </c>
      <c r="E62" s="38">
        <f t="shared" si="4"/>
        <v>89.787386526516968</v>
      </c>
      <c r="F62" s="38">
        <f t="shared" si="3"/>
        <v>-0.42749999999999977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35.529000000000003</v>
      </c>
      <c r="E63" s="34">
        <f t="shared" si="4"/>
        <v>50.327926907004752</v>
      </c>
      <c r="F63" s="34">
        <f t="shared" si="3"/>
        <v>-35.065999999999995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35.529000000000003</v>
      </c>
      <c r="E64" s="38">
        <f t="shared" si="4"/>
        <v>50.327926907004752</v>
      </c>
      <c r="F64" s="38">
        <f t="shared" si="3"/>
        <v>-35.065999999999995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25.3</v>
      </c>
      <c r="D65" s="32">
        <f>D68+D69</f>
        <v>4.2</v>
      </c>
      <c r="E65" s="34">
        <f t="shared" si="4"/>
        <v>16.600790513833992</v>
      </c>
      <c r="F65" s="34">
        <f t="shared" si="3"/>
        <v>-21.1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hidden="1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25.3</v>
      </c>
      <c r="D69" s="37">
        <v>4.2</v>
      </c>
      <c r="E69" s="34">
        <f t="shared" si="4"/>
        <v>16.600790513833992</v>
      </c>
      <c r="F69" s="34">
        <f t="shared" si="3"/>
        <v>-21.1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2220.5359200000003</v>
      </c>
      <c r="D70" s="48">
        <f>SUM(D71:D74)</f>
        <v>532.18604000000005</v>
      </c>
      <c r="E70" s="34">
        <f t="shared" si="4"/>
        <v>23.966558487376329</v>
      </c>
      <c r="F70" s="34">
        <f t="shared" si="3"/>
        <v>-1688.3498800000002</v>
      </c>
    </row>
    <row r="71" spans="1:7">
      <c r="A71" s="35" t="s">
        <v>60</v>
      </c>
      <c r="B71" s="39" t="s">
        <v>61</v>
      </c>
      <c r="C71" s="49">
        <v>4.0289999999999999</v>
      </c>
      <c r="D71" s="37">
        <v>0</v>
      </c>
      <c r="E71" s="38">
        <f t="shared" si="4"/>
        <v>0</v>
      </c>
      <c r="F71" s="38">
        <f t="shared" si="3"/>
        <v>-4.0289999999999999</v>
      </c>
    </row>
    <row r="72" spans="1:7" s="6" customFormat="1">
      <c r="A72" s="35" t="s">
        <v>62</v>
      </c>
      <c r="B72" s="39" t="s">
        <v>63</v>
      </c>
      <c r="C72" s="49">
        <v>1135</v>
      </c>
      <c r="D72" s="37">
        <v>176.19782000000001</v>
      </c>
      <c r="E72" s="38">
        <f t="shared" si="4"/>
        <v>15.524037004405287</v>
      </c>
      <c r="F72" s="38">
        <f t="shared" si="3"/>
        <v>-958.80218000000002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336.48822000000001</v>
      </c>
      <c r="E73" s="38">
        <f t="shared" si="4"/>
        <v>32.498413268578645</v>
      </c>
      <c r="F73" s="38">
        <f t="shared" si="3"/>
        <v>-698.91070000000013</v>
      </c>
    </row>
    <row r="74" spans="1:7">
      <c r="A74" s="35" t="s">
        <v>66</v>
      </c>
      <c r="B74" s="39" t="s">
        <v>67</v>
      </c>
      <c r="C74" s="49">
        <v>46.107999999999997</v>
      </c>
      <c r="D74" s="37">
        <v>19.5</v>
      </c>
      <c r="E74" s="38">
        <f t="shared" si="4"/>
        <v>42.292010063329577</v>
      </c>
      <c r="F74" s="38">
        <f t="shared" si="3"/>
        <v>-26.607999999999997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600.10599999999999</v>
      </c>
      <c r="D75" s="32">
        <f>SUM(D76:D78)</f>
        <v>102.19947999999999</v>
      </c>
      <c r="E75" s="34">
        <f t="shared" si="4"/>
        <v>17.030237991288207</v>
      </c>
      <c r="F75" s="34">
        <f t="shared" si="3"/>
        <v>-497.90652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600.10599999999999</v>
      </c>
      <c r="D78" s="37">
        <v>102.19947999999999</v>
      </c>
      <c r="E78" s="38">
        <f t="shared" si="4"/>
        <v>17.030237991288207</v>
      </c>
      <c r="F78" s="38">
        <f t="shared" si="3"/>
        <v>-497.90652</v>
      </c>
    </row>
    <row r="79" spans="1:7" s="6" customFormat="1">
      <c r="A79" s="30" t="s">
        <v>86</v>
      </c>
      <c r="B79" s="31" t="s">
        <v>87</v>
      </c>
      <c r="C79" s="32">
        <f>C80</f>
        <v>950.2</v>
      </c>
      <c r="D79" s="32">
        <f>SUM(D80)</f>
        <v>287.46026000000001</v>
      </c>
      <c r="E79" s="34">
        <f t="shared" si="4"/>
        <v>30.252605767206902</v>
      </c>
      <c r="F79" s="34">
        <f t="shared" si="3"/>
        <v>-662.73973999999998</v>
      </c>
    </row>
    <row r="80" spans="1:7" ht="15.75" customHeight="1">
      <c r="A80" s="35" t="s">
        <v>88</v>
      </c>
      <c r="B80" s="39" t="s">
        <v>234</v>
      </c>
      <c r="C80" s="37">
        <v>950.2</v>
      </c>
      <c r="D80" s="37">
        <v>287.46026000000001</v>
      </c>
      <c r="E80" s="38">
        <f t="shared" si="4"/>
        <v>30.252605767206902</v>
      </c>
      <c r="F80" s="38">
        <f t="shared" si="3"/>
        <v>-662.73973999999998</v>
      </c>
    </row>
    <row r="81" spans="1:6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>
      <c r="A86" s="30" t="s">
        <v>95</v>
      </c>
      <c r="B86" s="31" t="s">
        <v>96</v>
      </c>
      <c r="C86" s="32">
        <f>C87+C88+C89+C90+C91</f>
        <v>20</v>
      </c>
      <c r="D86" s="32">
        <f>D87+D88+D89+D90+D91</f>
        <v>2.2000000000000002</v>
      </c>
      <c r="E86" s="38">
        <f t="shared" si="4"/>
        <v>11.000000000000002</v>
      </c>
      <c r="F86" s="22">
        <f>F87+F88+F89+F90+F91</f>
        <v>-17.8</v>
      </c>
    </row>
    <row r="87" spans="1:6" ht="17.25" customHeight="1">
      <c r="A87" s="35" t="s">
        <v>97</v>
      </c>
      <c r="B87" s="39" t="s">
        <v>98</v>
      </c>
      <c r="C87" s="37">
        <v>20</v>
      </c>
      <c r="D87" s="37">
        <v>2.2000000000000002</v>
      </c>
      <c r="E87" s="38">
        <f t="shared" si="4"/>
        <v>11.000000000000002</v>
      </c>
      <c r="F87" s="38">
        <f>SUM(D87-C87)</f>
        <v>-17.8</v>
      </c>
    </row>
    <row r="88" spans="1:6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5.75" customHeight="1">
      <c r="A96" s="52"/>
      <c r="B96" s="57" t="s">
        <v>119</v>
      </c>
      <c r="C96" s="402">
        <f>C55+C63+C70+C75+C79+C81+C86+C65+C92</f>
        <v>5325.0769200000004</v>
      </c>
      <c r="D96" s="402">
        <f>D55+D63+D70+D75+D79+D81+D86+D65+D92</f>
        <v>1608.1171000000002</v>
      </c>
      <c r="E96" s="34">
        <f t="shared" si="4"/>
        <v>30.198945933723714</v>
      </c>
      <c r="F96" s="34">
        <f t="shared" si="3"/>
        <v>-3716.95982</v>
      </c>
    </row>
    <row r="97" spans="1:4">
      <c r="C97" s="126"/>
      <c r="D97" s="101"/>
    </row>
    <row r="98" spans="1:4" s="65" customFormat="1" ht="16.5" customHeight="1">
      <c r="A98" s="63" t="s">
        <v>120</v>
      </c>
      <c r="B98" s="63"/>
      <c r="C98" s="250"/>
      <c r="D98" s="250"/>
    </row>
    <row r="99" spans="1:4" s="65" customFormat="1" ht="20.25" customHeight="1">
      <c r="A99" s="66" t="s">
        <v>121</v>
      </c>
      <c r="B99" s="66"/>
      <c r="C99" s="65" t="s">
        <v>122</v>
      </c>
    </row>
    <row r="100" spans="1:4" ht="13.5" customHeight="1">
      <c r="C100" s="120"/>
    </row>
    <row r="102" spans="1:4" ht="5.25" customHeight="1"/>
  </sheetData>
  <customSheetViews>
    <customSheetView guid="{A54C432C-6C68-4B53-A75C-446EB3A61B2B}" scale="70" showPageBreaks="1" printArea="1" hiddenRows="1" topLeftCell="A18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printArea="1" hiddenRows="1" view="pageBreakPreview" topLeftCell="A18">
      <selection activeCell="C96" sqref="C96:D96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3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02"/>
  <sheetViews>
    <sheetView view="pageBreakPreview" topLeftCell="A56" zoomScale="70" zoomScaleSheetLayoutView="70" workbookViewId="0">
      <selection activeCell="D55" sqref="D55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0.7109375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380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1338.54</v>
      </c>
      <c r="D4" s="5">
        <f>D5+D12+D14+D17+D7</f>
        <v>418.80765000000002</v>
      </c>
      <c r="E4" s="5">
        <f>SUM(D4/C4*100)</f>
        <v>31.288392576986869</v>
      </c>
      <c r="F4" s="5">
        <f>SUM(D4-C4)</f>
        <v>-919.73235</v>
      </c>
    </row>
    <row r="5" spans="1:6" s="6" customFormat="1">
      <c r="A5" s="68">
        <v>1010000000</v>
      </c>
      <c r="B5" s="67" t="s">
        <v>6</v>
      </c>
      <c r="C5" s="5">
        <f>C6</f>
        <v>105.2</v>
      </c>
      <c r="D5" s="5">
        <f>D6</f>
        <v>56.835360000000001</v>
      </c>
      <c r="E5" s="5">
        <f t="shared" ref="E5:E52" si="0">SUM(D5/C5*100)</f>
        <v>54.026007604562743</v>
      </c>
      <c r="F5" s="5">
        <f t="shared" ref="F5:F52" si="1">SUM(D5-C5)</f>
        <v>-48.364640000000001</v>
      </c>
    </row>
    <row r="6" spans="1:6">
      <c r="A6" s="7">
        <v>1010200001</v>
      </c>
      <c r="B6" s="8" t="s">
        <v>229</v>
      </c>
      <c r="C6" s="9">
        <v>105.2</v>
      </c>
      <c r="D6" s="10">
        <v>56.835360000000001</v>
      </c>
      <c r="E6" s="9">
        <f t="shared" ref="E6:E11" si="2">SUM(D6/C6*100)</f>
        <v>54.026007604562743</v>
      </c>
      <c r="F6" s="9">
        <f t="shared" si="1"/>
        <v>-48.364640000000001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323.99814000000003</v>
      </c>
      <c r="E7" s="5">
        <f t="shared" si="2"/>
        <v>48.333403944267097</v>
      </c>
      <c r="F7" s="5">
        <f t="shared" si="1"/>
        <v>-346.34185999999988</v>
      </c>
    </row>
    <row r="8" spans="1:6">
      <c r="A8" s="7">
        <v>1030223001</v>
      </c>
      <c r="B8" s="8" t="s">
        <v>283</v>
      </c>
      <c r="C8" s="9">
        <v>250.04</v>
      </c>
      <c r="D8" s="10">
        <v>140.41391999999999</v>
      </c>
      <c r="E8" s="9">
        <f t="shared" si="2"/>
        <v>56.15658294672852</v>
      </c>
      <c r="F8" s="9">
        <f t="shared" si="1"/>
        <v>-109.62608</v>
      </c>
    </row>
    <row r="9" spans="1:6">
      <c r="A9" s="7">
        <v>1030224001</v>
      </c>
      <c r="B9" s="8" t="s">
        <v>289</v>
      </c>
      <c r="C9" s="9">
        <v>2.68</v>
      </c>
      <c r="D9" s="10">
        <v>1.0645</v>
      </c>
      <c r="E9" s="9">
        <f t="shared" si="2"/>
        <v>39.720149253731343</v>
      </c>
      <c r="F9" s="9">
        <f t="shared" si="1"/>
        <v>-1.6155000000000002</v>
      </c>
    </row>
    <row r="10" spans="1:6">
      <c r="A10" s="7">
        <v>1030225001</v>
      </c>
      <c r="B10" s="8" t="s">
        <v>282</v>
      </c>
      <c r="C10" s="9">
        <v>417.62</v>
      </c>
      <c r="D10" s="10">
        <v>211.69361000000001</v>
      </c>
      <c r="E10" s="9">
        <f t="shared" si="2"/>
        <v>50.690486566735316</v>
      </c>
      <c r="F10" s="9">
        <f t="shared" si="1"/>
        <v>-205.92639</v>
      </c>
    </row>
    <row r="11" spans="1:6">
      <c r="A11" s="7">
        <v>1030226001</v>
      </c>
      <c r="B11" s="8" t="s">
        <v>291</v>
      </c>
      <c r="C11" s="9">
        <v>0</v>
      </c>
      <c r="D11" s="10">
        <v>-29.17389</v>
      </c>
      <c r="E11" s="9" t="e">
        <f t="shared" si="2"/>
        <v>#DIV/0!</v>
      </c>
      <c r="F11" s="9">
        <f t="shared" si="1"/>
        <v>-29.17389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33.566830000000003</v>
      </c>
      <c r="E14" s="5">
        <f t="shared" si="0"/>
        <v>6.3936819047619053</v>
      </c>
      <c r="F14" s="5">
        <f t="shared" si="1"/>
        <v>-491.43317000000002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10.07429</v>
      </c>
      <c r="E15" s="9">
        <f t="shared" si="0"/>
        <v>9.5945619047619051</v>
      </c>
      <c r="F15" s="9">
        <f>SUM(D15-C15)</f>
        <v>-94.925709999999995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23.492540000000002</v>
      </c>
      <c r="E16" s="9">
        <f t="shared" si="0"/>
        <v>5.593461904761905</v>
      </c>
      <c r="F16" s="9">
        <f t="shared" si="1"/>
        <v>-396.50745999999998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2.75</v>
      </c>
      <c r="E17" s="5">
        <f t="shared" si="0"/>
        <v>34.375</v>
      </c>
      <c r="F17" s="5">
        <f t="shared" si="1"/>
        <v>-5.25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2.75</v>
      </c>
      <c r="E18" s="9">
        <f t="shared" si="0"/>
        <v>34.375</v>
      </c>
      <c r="F18" s="9">
        <f t="shared" si="1"/>
        <v>-5.25</v>
      </c>
    </row>
    <row r="19" spans="1:6" ht="49.5" hidden="1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260</v>
      </c>
      <c r="D25" s="5">
        <f>D26+D29+D31+D34</f>
        <v>290.41088000000002</v>
      </c>
      <c r="E25" s="5">
        <f t="shared" si="0"/>
        <v>111.69649230769232</v>
      </c>
      <c r="F25" s="5">
        <f t="shared" si="1"/>
        <v>30.41088000000002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18</v>
      </c>
      <c r="E26" s="5">
        <f t="shared" si="0"/>
        <v>30</v>
      </c>
      <c r="F26" s="5">
        <f t="shared" si="1"/>
        <v>-42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18</v>
      </c>
      <c r="E28" s="9">
        <f t="shared" si="0"/>
        <v>30</v>
      </c>
      <c r="F28" s="9">
        <f t="shared" si="1"/>
        <v>-42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200</v>
      </c>
      <c r="D29" s="5">
        <f>D30</f>
        <v>272.65098</v>
      </c>
      <c r="E29" s="5">
        <f t="shared" si="0"/>
        <v>136.32549</v>
      </c>
      <c r="F29" s="5">
        <f t="shared" si="1"/>
        <v>72.650980000000004</v>
      </c>
    </row>
    <row r="30" spans="1:6" ht="15.75" customHeight="1">
      <c r="A30" s="7">
        <v>1130206005</v>
      </c>
      <c r="B30" s="8" t="s">
        <v>15</v>
      </c>
      <c r="C30" s="9">
        <v>200</v>
      </c>
      <c r="D30" s="10">
        <v>272.65098</v>
      </c>
      <c r="E30" s="9">
        <f t="shared" si="0"/>
        <v>136.32549</v>
      </c>
      <c r="F30" s="9">
        <f t="shared" si="1"/>
        <v>72.650980000000004</v>
      </c>
    </row>
    <row r="31" spans="1:6" ht="20.2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1598.54</v>
      </c>
      <c r="D37" s="127">
        <f>D4+D25</f>
        <v>709.2185300000001</v>
      </c>
      <c r="E37" s="5">
        <f t="shared" si="0"/>
        <v>44.366642686451399</v>
      </c>
      <c r="F37" s="5">
        <f t="shared" si="1"/>
        <v>-889.32146999999986</v>
      </c>
    </row>
    <row r="38" spans="1:7" s="6" customFormat="1">
      <c r="A38" s="3">
        <v>2000000000</v>
      </c>
      <c r="B38" s="4" t="s">
        <v>20</v>
      </c>
      <c r="C38" s="5">
        <f>C39+C41+C42+C43+C50+C51</f>
        <v>5606.6420000000007</v>
      </c>
      <c r="D38" s="5">
        <f>D39+D41+D42+D43+D50+D51</f>
        <v>2000.7139999999999</v>
      </c>
      <c r="E38" s="5">
        <f t="shared" si="0"/>
        <v>35.684711098015526</v>
      </c>
      <c r="F38" s="5">
        <f t="shared" si="1"/>
        <v>-3605.9280000000008</v>
      </c>
      <c r="G38" s="19"/>
    </row>
    <row r="39" spans="1:7">
      <c r="A39" s="16">
        <v>2021000000</v>
      </c>
      <c r="B39" s="17" t="s">
        <v>21</v>
      </c>
      <c r="C39" s="12">
        <v>2768.5630000000001</v>
      </c>
      <c r="D39" s="20">
        <v>1737.9559999999999</v>
      </c>
      <c r="E39" s="9">
        <v>0</v>
      </c>
      <c r="F39" s="9">
        <f t="shared" si="1"/>
        <v>-1030.6070000000002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624.97</v>
      </c>
      <c r="D41" s="20">
        <v>0</v>
      </c>
      <c r="E41" s="9">
        <f t="shared" si="0"/>
        <v>0</v>
      </c>
      <c r="F41" s="9">
        <f t="shared" si="1"/>
        <v>-624.97</v>
      </c>
    </row>
    <row r="42" spans="1:7">
      <c r="A42" s="16">
        <v>2022000000</v>
      </c>
      <c r="B42" s="17" t="s">
        <v>22</v>
      </c>
      <c r="C42" s="12">
        <v>1977.41</v>
      </c>
      <c r="D42" s="10">
        <v>110.31399999999999</v>
      </c>
      <c r="E42" s="9">
        <f t="shared" si="0"/>
        <v>5.5787115469224888</v>
      </c>
      <c r="F42" s="9">
        <f t="shared" si="1"/>
        <v>-1867.096</v>
      </c>
    </row>
    <row r="43" spans="1:7" ht="17.25" customHeight="1">
      <c r="A43" s="16">
        <v>2023000000</v>
      </c>
      <c r="B43" s="17" t="s">
        <v>23</v>
      </c>
      <c r="C43" s="12">
        <v>157.59899999999999</v>
      </c>
      <c r="D43" s="252">
        <v>74.343999999999994</v>
      </c>
      <c r="E43" s="9">
        <f t="shared" si="0"/>
        <v>47.172888152843605</v>
      </c>
      <c r="F43" s="9">
        <f t="shared" si="1"/>
        <v>-83.254999999999995</v>
      </c>
    </row>
    <row r="44" spans="1:7" ht="18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81">
        <f>C47</f>
        <v>0</v>
      </c>
      <c r="D46" s="358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93">
        <f>C37+C38</f>
        <v>7205.1820000000007</v>
      </c>
      <c r="D52" s="93">
        <f>D37+D38</f>
        <v>2709.93253</v>
      </c>
      <c r="E52" s="5">
        <f t="shared" si="0"/>
        <v>37.610882417682163</v>
      </c>
      <c r="F52" s="5">
        <f t="shared" si="1"/>
        <v>-4495.2494700000007</v>
      </c>
      <c r="G52" s="94"/>
    </row>
    <row r="53" spans="1:7" s="6" customFormat="1">
      <c r="A53" s="3"/>
      <c r="B53" s="21" t="s">
        <v>321</v>
      </c>
      <c r="C53" s="93">
        <f>C52-C98</f>
        <v>-684.10237999999936</v>
      </c>
      <c r="D53" s="93">
        <f>D52-D98</f>
        <v>130.06872000000021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381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1256.8195000000001</v>
      </c>
      <c r="D57" s="33">
        <f>D58+D59+D60+D61+D62+D64+D63</f>
        <v>613.80201</v>
      </c>
      <c r="E57" s="34">
        <f>SUM(D57/C57*100)</f>
        <v>48.837721725355152</v>
      </c>
      <c r="F57" s="34">
        <f>SUM(D57-C57)</f>
        <v>-643.01749000000007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1247.5630000000001</v>
      </c>
      <c r="D59" s="37">
        <v>609.54551000000004</v>
      </c>
      <c r="E59" s="38">
        <f t="shared" ref="E59:E98" si="3">SUM(D59/C59*100)</f>
        <v>48.858896103844053</v>
      </c>
      <c r="F59" s="38">
        <f t="shared" ref="F59:F98" si="4">SUM(D59-C59)</f>
        <v>-638.01749000000007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4.2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65.899519999999995</v>
      </c>
      <c r="E65" s="34">
        <f t="shared" si="3"/>
        <v>43.676486767717606</v>
      </c>
      <c r="F65" s="34">
        <f t="shared" si="4"/>
        <v>-84.981480000000005</v>
      </c>
    </row>
    <row r="66" spans="1:7">
      <c r="A66" s="43" t="s">
        <v>48</v>
      </c>
      <c r="B66" s="44" t="s">
        <v>49</v>
      </c>
      <c r="C66" s="37">
        <v>150.881</v>
      </c>
      <c r="D66" s="37">
        <v>65.899519999999995</v>
      </c>
      <c r="E66" s="38">
        <f t="shared" si="3"/>
        <v>43.676486767717606</v>
      </c>
      <c r="F66" s="38">
        <f t="shared" si="4"/>
        <v>-84.981480000000005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1527.69938</v>
      </c>
      <c r="D72" s="48">
        <f>SUM(D73:D76)</f>
        <v>784.63736000000006</v>
      </c>
      <c r="E72" s="34">
        <f t="shared" si="3"/>
        <v>51.360717315994464</v>
      </c>
      <c r="F72" s="34">
        <f t="shared" si="4"/>
        <v>-743.06201999999996</v>
      </c>
    </row>
    <row r="73" spans="1:7" ht="17.25" customHeight="1">
      <c r="A73" s="35" t="s">
        <v>60</v>
      </c>
      <c r="B73" s="39" t="s">
        <v>61</v>
      </c>
      <c r="C73" s="49">
        <v>19.417999999999999</v>
      </c>
      <c r="D73" s="37">
        <v>4.5359999999999996</v>
      </c>
      <c r="E73" s="38">
        <f t="shared" si="3"/>
        <v>23.35976928622927</v>
      </c>
      <c r="F73" s="38">
        <f t="shared" si="4"/>
        <v>-14.882</v>
      </c>
    </row>
    <row r="74" spans="1:7" s="6" customFormat="1" ht="19.5" customHeight="1">
      <c r="A74" s="35" t="s">
        <v>62</v>
      </c>
      <c r="B74" s="39" t="s">
        <v>63</v>
      </c>
      <c r="C74" s="49">
        <v>250</v>
      </c>
      <c r="D74" s="37">
        <v>136.28536</v>
      </c>
      <c r="E74" s="38">
        <f t="shared" si="3"/>
        <v>54.514143999999995</v>
      </c>
      <c r="F74" s="38">
        <f t="shared" si="4"/>
        <v>-113.71464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643.81600000000003</v>
      </c>
      <c r="E75" s="38">
        <f t="shared" si="3"/>
        <v>53.283615112896975</v>
      </c>
      <c r="F75" s="38">
        <f t="shared" si="4"/>
        <v>-564.46537999999987</v>
      </c>
    </row>
    <row r="76" spans="1:7">
      <c r="A76" s="35" t="s">
        <v>66</v>
      </c>
      <c r="B76" s="39" t="s">
        <v>67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635.875</v>
      </c>
      <c r="D77" s="32">
        <f>SUM(D78:D80)</f>
        <v>143.75525999999999</v>
      </c>
      <c r="E77" s="34">
        <f t="shared" si="3"/>
        <v>22.607471594259877</v>
      </c>
      <c r="F77" s="34">
        <f t="shared" si="4"/>
        <v>-492.11973999999998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635.875</v>
      </c>
      <c r="D80" s="37">
        <v>143.75525999999999</v>
      </c>
      <c r="E80" s="38">
        <f t="shared" si="3"/>
        <v>22.607471594259877</v>
      </c>
      <c r="F80" s="38">
        <f t="shared" si="4"/>
        <v>-492.11973999999998</v>
      </c>
    </row>
    <row r="81" spans="1:6" s="6" customFormat="1">
      <c r="A81" s="30" t="s">
        <v>86</v>
      </c>
      <c r="B81" s="31" t="s">
        <v>87</v>
      </c>
      <c r="C81" s="32">
        <f>C82</f>
        <v>4311.0095000000001</v>
      </c>
      <c r="D81" s="32">
        <f>SUM(D82)</f>
        <v>971.76966000000004</v>
      </c>
      <c r="E81" s="34">
        <f t="shared" si="3"/>
        <v>22.541580110180689</v>
      </c>
      <c r="F81" s="34">
        <f t="shared" si="4"/>
        <v>-3339.2398400000002</v>
      </c>
    </row>
    <row r="82" spans="1:6" ht="15" customHeight="1">
      <c r="A82" s="35" t="s">
        <v>88</v>
      </c>
      <c r="B82" s="39" t="s">
        <v>234</v>
      </c>
      <c r="C82" s="37">
        <v>4311.0095000000001</v>
      </c>
      <c r="D82" s="37">
        <v>971.76966000000004</v>
      </c>
      <c r="E82" s="38">
        <f t="shared" si="3"/>
        <v>22.541580110180689</v>
      </c>
      <c r="F82" s="38">
        <f t="shared" si="4"/>
        <v>-3339.2398400000002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402">
        <f>C57+C65+C67+C72+C77+C81+C88+C83</f>
        <v>7889.2843800000001</v>
      </c>
      <c r="D98" s="402">
        <f>D57+D65+D67+D72+D77+D81+D88+D83</f>
        <v>2579.8638099999998</v>
      </c>
      <c r="E98" s="34">
        <f t="shared" si="3"/>
        <v>32.700859618397985</v>
      </c>
      <c r="F98" s="34">
        <f t="shared" si="4"/>
        <v>-5309.4205700000002</v>
      </c>
    </row>
    <row r="99" spans="1:6">
      <c r="D99" s="246"/>
    </row>
    <row r="100" spans="1:6" s="65" customFormat="1" ht="18" customHeight="1">
      <c r="A100" s="63" t="s">
        <v>120</v>
      </c>
      <c r="B100" s="63"/>
      <c r="C100" s="131"/>
      <c r="D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</sheetData>
  <customSheetViews>
    <customSheetView guid="{A54C432C-6C68-4B53-A75C-446EB3A61B2B}" scale="70" showPageBreaks="1" hiddenRows="1" view="pageBreakPreview" topLeftCell="A15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 topLeftCell="A25">
      <selection activeCell="D98" sqref="D98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3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view="pageBreakPreview" zoomScale="70" zoomScaleSheetLayoutView="70" workbookViewId="0">
      <selection activeCell="G7" sqref="G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452" t="s">
        <v>382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2455.75</v>
      </c>
      <c r="D4" s="5">
        <f>D5+D12+D14+D17+D7</f>
        <v>593.81349</v>
      </c>
      <c r="E4" s="5">
        <f>SUM(D4/C4*100)</f>
        <v>24.180535070752317</v>
      </c>
      <c r="F4" s="5">
        <f>SUM(D4-C4)</f>
        <v>-1861.93651</v>
      </c>
    </row>
    <row r="5" spans="1:6" s="6" customFormat="1">
      <c r="A5" s="68">
        <v>1010000000</v>
      </c>
      <c r="B5" s="67" t="s">
        <v>6</v>
      </c>
      <c r="C5" s="5">
        <f>C6</f>
        <v>91.5</v>
      </c>
      <c r="D5" s="5">
        <f>D6</f>
        <v>68.206090000000003</v>
      </c>
      <c r="E5" s="5">
        <f t="shared" ref="E5:E52" si="0">SUM(D5/C5*100)</f>
        <v>74.542174863387984</v>
      </c>
      <c r="F5" s="5">
        <f t="shared" ref="F5:F52" si="1">SUM(D5-C5)</f>
        <v>-23.293909999999997</v>
      </c>
    </row>
    <row r="6" spans="1:6">
      <c r="A6" s="7">
        <v>1010200001</v>
      </c>
      <c r="B6" s="8" t="s">
        <v>229</v>
      </c>
      <c r="C6" s="9">
        <v>91.5</v>
      </c>
      <c r="D6" s="10">
        <v>68.206090000000003</v>
      </c>
      <c r="E6" s="9">
        <f t="shared" ref="E6:E11" si="2">SUM(D6/C6*100)</f>
        <v>74.542174863387984</v>
      </c>
      <c r="F6" s="9">
        <f t="shared" si="1"/>
        <v>-23.293909999999997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353.92158000000001</v>
      </c>
      <c r="E7" s="5">
        <f t="shared" si="2"/>
        <v>48.33343530215091</v>
      </c>
      <c r="F7" s="5">
        <f t="shared" si="1"/>
        <v>-378.32841999999988</v>
      </c>
    </row>
    <row r="8" spans="1:6">
      <c r="A8" s="7">
        <v>1030223001</v>
      </c>
      <c r="B8" s="8" t="s">
        <v>283</v>
      </c>
      <c r="C8" s="9">
        <v>273.13</v>
      </c>
      <c r="D8" s="10">
        <v>153.38209000000001</v>
      </c>
      <c r="E8" s="9">
        <f t="shared" si="2"/>
        <v>56.157174239373198</v>
      </c>
      <c r="F8" s="9">
        <f t="shared" si="1"/>
        <v>-119.74790999999999</v>
      </c>
    </row>
    <row r="9" spans="1:6">
      <c r="A9" s="7">
        <v>1030224001</v>
      </c>
      <c r="B9" s="8" t="s">
        <v>289</v>
      </c>
      <c r="C9" s="9">
        <v>2.93</v>
      </c>
      <c r="D9" s="10">
        <v>1.1628099999999999</v>
      </c>
      <c r="E9" s="9">
        <f t="shared" si="2"/>
        <v>39.686348122866889</v>
      </c>
      <c r="F9" s="9">
        <f t="shared" si="1"/>
        <v>-1.7671900000000003</v>
      </c>
    </row>
    <row r="10" spans="1:6">
      <c r="A10" s="7">
        <v>1030225001</v>
      </c>
      <c r="B10" s="8" t="s">
        <v>282</v>
      </c>
      <c r="C10" s="9">
        <v>456.19</v>
      </c>
      <c r="D10" s="10">
        <v>231.24493000000001</v>
      </c>
      <c r="E10" s="9">
        <f t="shared" si="2"/>
        <v>50.690486420131961</v>
      </c>
      <c r="F10" s="9">
        <f>SUM(D10-C10)</f>
        <v>-224.94506999999999</v>
      </c>
    </row>
    <row r="11" spans="1:6">
      <c r="A11" s="7">
        <v>1030226001</v>
      </c>
      <c r="B11" s="8" t="s">
        <v>291</v>
      </c>
      <c r="C11" s="9">
        <v>0</v>
      </c>
      <c r="D11" s="10">
        <v>-31.86825</v>
      </c>
      <c r="E11" s="9" t="e">
        <f t="shared" si="2"/>
        <v>#DIV/0!</v>
      </c>
      <c r="F11" s="9">
        <f>SUM(D11-C11)</f>
        <v>-31.86825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21.3873</v>
      </c>
      <c r="E12" s="5">
        <f t="shared" si="0"/>
        <v>142.58200000000002</v>
      </c>
      <c r="F12" s="5">
        <f t="shared" si="1"/>
        <v>6.3872999999999998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21.3873</v>
      </c>
      <c r="E13" s="9">
        <f t="shared" si="0"/>
        <v>142.58200000000002</v>
      </c>
      <c r="F13" s="9">
        <f t="shared" si="1"/>
        <v>6.3872999999999998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1605</v>
      </c>
      <c r="D14" s="5">
        <f>D15+D16</f>
        <v>139.04131000000001</v>
      </c>
      <c r="E14" s="5">
        <f t="shared" si="0"/>
        <v>8.6630099688473532</v>
      </c>
      <c r="F14" s="5">
        <f t="shared" si="1"/>
        <v>-1465.9586899999999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9.0942100000000003</v>
      </c>
      <c r="E15" s="9">
        <f t="shared" si="0"/>
        <v>5.867232258064516</v>
      </c>
      <c r="F15" s="9">
        <f>SUM(D15-C15)</f>
        <v>-145.90579</v>
      </c>
    </row>
    <row r="16" spans="1:6" ht="15.75" customHeight="1">
      <c r="A16" s="7">
        <v>1060600000</v>
      </c>
      <c r="B16" s="11" t="s">
        <v>8</v>
      </c>
      <c r="C16" s="9">
        <v>1450</v>
      </c>
      <c r="D16" s="10">
        <v>129.94710000000001</v>
      </c>
      <c r="E16" s="9">
        <f t="shared" si="0"/>
        <v>8.9618689655172421</v>
      </c>
      <c r="F16" s="9">
        <f t="shared" si="1"/>
        <v>-1320.0528999999999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11.257210000000001</v>
      </c>
      <c r="E17" s="5">
        <f t="shared" si="0"/>
        <v>93.810083333333338</v>
      </c>
      <c r="F17" s="5">
        <f t="shared" si="1"/>
        <v>-0.7427899999999994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11.257210000000001</v>
      </c>
      <c r="E18" s="9">
        <f t="shared" si="0"/>
        <v>93.810083333333338</v>
      </c>
      <c r="F18" s="9">
        <f t="shared" si="1"/>
        <v>-0.7427899999999994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35</v>
      </c>
      <c r="D25" s="5">
        <f>D30+D37+D26</f>
        <v>79.896590000000003</v>
      </c>
      <c r="E25" s="5">
        <f t="shared" si="0"/>
        <v>228.27597142857147</v>
      </c>
      <c r="F25" s="5">
        <f t="shared" si="1"/>
        <v>44.896590000000003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35</v>
      </c>
      <c r="D26" s="5">
        <f>D27+D28</f>
        <v>60.924019999999999</v>
      </c>
      <c r="E26" s="5">
        <f t="shared" si="0"/>
        <v>174.06862857142858</v>
      </c>
      <c r="F26" s="5">
        <f t="shared" si="1"/>
        <v>25.924019999999999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7.92056</v>
      </c>
      <c r="E27" s="9">
        <f t="shared" si="0"/>
        <v>26.401866666666667</v>
      </c>
      <c r="F27" s="9">
        <f t="shared" si="1"/>
        <v>-22.079439999999998</v>
      </c>
    </row>
    <row r="28" spans="1:6" ht="15.75" customHeight="1">
      <c r="A28" s="7">
        <v>1110503510</v>
      </c>
      <c r="B28" s="11" t="s">
        <v>225</v>
      </c>
      <c r="C28" s="12">
        <v>5</v>
      </c>
      <c r="D28" s="10">
        <v>53.003459999999997</v>
      </c>
      <c r="E28" s="9">
        <f t="shared" si="0"/>
        <v>1060.0691999999999</v>
      </c>
      <c r="F28" s="9">
        <f t="shared" si="1"/>
        <v>48.003459999999997</v>
      </c>
    </row>
    <row r="29" spans="1:6" ht="15.75" customHeight="1">
      <c r="A29" s="7">
        <v>1110532510</v>
      </c>
      <c r="B29" s="11" t="s">
        <v>386</v>
      </c>
      <c r="C29" s="12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19.015550000000001</v>
      </c>
      <c r="E30" s="5" t="e">
        <f t="shared" si="0"/>
        <v>#DIV/0!</v>
      </c>
      <c r="F30" s="5">
        <f t="shared" si="1"/>
        <v>19.015550000000001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19.015550000000001</v>
      </c>
      <c r="E31" s="9" t="e">
        <f t="shared" si="0"/>
        <v>#DIV/0!</v>
      </c>
      <c r="F31" s="9">
        <f t="shared" si="1"/>
        <v>19.015550000000001</v>
      </c>
    </row>
    <row r="32" spans="1:6" hidden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252</v>
      </c>
      <c r="C35" s="5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-4.2979999999999997E-2</v>
      </c>
      <c r="E37" s="5" t="e">
        <f t="shared" si="0"/>
        <v>#DIV/0!</v>
      </c>
      <c r="F37" s="5">
        <f t="shared" si="1"/>
        <v>-4.2979999999999997E-2</v>
      </c>
    </row>
    <row r="38" spans="1:7">
      <c r="A38" s="7">
        <v>1170105010</v>
      </c>
      <c r="B38" s="8" t="s">
        <v>18</v>
      </c>
      <c r="C38" s="9">
        <v>0</v>
      </c>
      <c r="D38" s="9">
        <v>-4.2979999999999997E-2</v>
      </c>
      <c r="E38" s="9" t="e">
        <f t="shared" si="0"/>
        <v>#DIV/0!</v>
      </c>
      <c r="F38" s="9">
        <f t="shared" si="1"/>
        <v>-4.2979999999999997E-2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2490.75</v>
      </c>
      <c r="D40" s="127">
        <f>D4+D25</f>
        <v>673.71008000000006</v>
      </c>
      <c r="E40" s="5">
        <f t="shared" si="0"/>
        <v>27.048482585566596</v>
      </c>
      <c r="F40" s="5">
        <f t="shared" si="1"/>
        <v>-1817.0399199999999</v>
      </c>
    </row>
    <row r="41" spans="1:7" s="6" customFormat="1">
      <c r="A41" s="3">
        <v>2000000000</v>
      </c>
      <c r="B41" s="4" t="s">
        <v>20</v>
      </c>
      <c r="C41" s="5">
        <f>C42+C44+C45+C47+C48+C49+C43+C51</f>
        <v>6051.4340000000002</v>
      </c>
      <c r="D41" s="5">
        <f>D42+D44+D45+D47+D48+D49+D43+D51</f>
        <v>1870.309</v>
      </c>
      <c r="E41" s="5">
        <f t="shared" si="0"/>
        <v>30.906872652002814</v>
      </c>
      <c r="F41" s="5">
        <f t="shared" si="1"/>
        <v>-4181.125</v>
      </c>
      <c r="G41" s="19"/>
    </row>
    <row r="42" spans="1:7" ht="17.25" customHeight="1">
      <c r="A42" s="16">
        <v>2021000000</v>
      </c>
      <c r="B42" s="17" t="s">
        <v>21</v>
      </c>
      <c r="C42" s="12">
        <v>1821.173</v>
      </c>
      <c r="D42" s="20">
        <v>1052.8399999999999</v>
      </c>
      <c r="E42" s="9">
        <f t="shared" si="0"/>
        <v>57.811092081861524</v>
      </c>
      <c r="F42" s="9">
        <f t="shared" si="1"/>
        <v>-768.33300000000008</v>
      </c>
    </row>
    <row r="43" spans="1:7" ht="17.25" customHeight="1">
      <c r="A43" s="16">
        <v>2021500200</v>
      </c>
      <c r="B43" s="17" t="s">
        <v>232</v>
      </c>
      <c r="C43" s="12">
        <v>70</v>
      </c>
      <c r="D43" s="20">
        <v>0</v>
      </c>
      <c r="E43" s="9">
        <f t="shared" si="0"/>
        <v>0</v>
      </c>
      <c r="F43" s="9">
        <f t="shared" si="1"/>
        <v>-70</v>
      </c>
    </row>
    <row r="44" spans="1:7">
      <c r="A44" s="16">
        <v>2022000000</v>
      </c>
      <c r="B44" s="17" t="s">
        <v>22</v>
      </c>
      <c r="C44" s="12">
        <v>3340.65</v>
      </c>
      <c r="D44" s="10">
        <v>79.432000000000002</v>
      </c>
      <c r="E44" s="9">
        <f t="shared" si="0"/>
        <v>2.3777408588149012</v>
      </c>
      <c r="F44" s="9">
        <f t="shared" si="1"/>
        <v>-3261.2180000000003</v>
      </c>
    </row>
    <row r="45" spans="1:7" ht="15.75" customHeight="1">
      <c r="A45" s="16">
        <v>2023000000</v>
      </c>
      <c r="B45" s="17" t="s">
        <v>23</v>
      </c>
      <c r="C45" s="12">
        <v>155.91800000000001</v>
      </c>
      <c r="D45" s="252">
        <v>74.343999999999994</v>
      </c>
      <c r="E45" s="9">
        <f t="shared" si="0"/>
        <v>47.68147359509485</v>
      </c>
      <c r="F45" s="9">
        <f t="shared" si="1"/>
        <v>-81.574000000000012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34">
        <v>663.69299999999998</v>
      </c>
      <c r="D51" s="335">
        <v>663.69299999999998</v>
      </c>
      <c r="E51" s="9">
        <f t="shared" si="0"/>
        <v>100</v>
      </c>
      <c r="F51" s="9">
        <f t="shared" si="1"/>
        <v>0</v>
      </c>
    </row>
    <row r="52" spans="1:7" s="6" customFormat="1">
      <c r="A52" s="3"/>
      <c r="B52" s="4" t="s">
        <v>28</v>
      </c>
      <c r="C52" s="93">
        <f>SUM(C40,C41,C50)</f>
        <v>8542.1840000000011</v>
      </c>
      <c r="D52" s="401">
        <f>D40+D41</f>
        <v>2544.01908</v>
      </c>
      <c r="E52" s="5">
        <f t="shared" si="0"/>
        <v>29.781834247541372</v>
      </c>
      <c r="F52" s="5">
        <f t="shared" si="1"/>
        <v>-5998.1649200000011</v>
      </c>
      <c r="G52" s="94"/>
    </row>
    <row r="53" spans="1:7" s="6" customFormat="1">
      <c r="A53" s="3"/>
      <c r="B53" s="21" t="s">
        <v>321</v>
      </c>
      <c r="C53" s="405">
        <f>C52-C99</f>
        <v>-2198.5853299999981</v>
      </c>
      <c r="D53" s="405">
        <f>D52-D99</f>
        <v>-397.98118999999997</v>
      </c>
      <c r="E53" s="22"/>
      <c r="F53" s="22"/>
    </row>
    <row r="54" spans="1:7" ht="32.25" customHeight="1">
      <c r="A54" s="23"/>
      <c r="B54" s="24"/>
      <c r="C54" s="248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361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1306.498</v>
      </c>
      <c r="D57" s="33">
        <f>D58+D59+D60+D61+D62+D64+D63</f>
        <v>582.44655</v>
      </c>
      <c r="E57" s="34">
        <f>SUM(D57/C57*100)</f>
        <v>44.580745626858977</v>
      </c>
      <c r="F57" s="34">
        <f>SUM(D57-C57)</f>
        <v>-724.05145000000005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1283.673</v>
      </c>
      <c r="D59" s="37">
        <v>565.63954999999999</v>
      </c>
      <c r="E59" s="38">
        <f t="shared" ref="E59:E99" si="3">SUM(D59/C59*100)</f>
        <v>44.064146398654486</v>
      </c>
      <c r="F59" s="38">
        <f t="shared" ref="F59:F99" si="4">SUM(D59-C59)</f>
        <v>-718.03345000000002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17.824999999999999</v>
      </c>
      <c r="D64" s="37">
        <v>16.806999999999999</v>
      </c>
      <c r="E64" s="38">
        <f t="shared" si="3"/>
        <v>94.288920056100977</v>
      </c>
      <c r="F64" s="38">
        <f t="shared" si="4"/>
        <v>-1.0180000000000007</v>
      </c>
    </row>
    <row r="65" spans="1:7" s="6" customFormat="1">
      <c r="A65" s="41" t="s">
        <v>46</v>
      </c>
      <c r="B65" s="42" t="s">
        <v>47</v>
      </c>
      <c r="C65" s="32">
        <f>C66</f>
        <v>150.88</v>
      </c>
      <c r="D65" s="32">
        <f>D66</f>
        <v>68.358230000000006</v>
      </c>
      <c r="E65" s="34">
        <f t="shared" si="3"/>
        <v>45.30635604453871</v>
      </c>
      <c r="F65" s="34">
        <f t="shared" si="4"/>
        <v>-82.521769999999989</v>
      </c>
    </row>
    <row r="66" spans="1:7">
      <c r="A66" s="43" t="s">
        <v>48</v>
      </c>
      <c r="B66" s="44" t="s">
        <v>49</v>
      </c>
      <c r="C66" s="37">
        <v>150.88</v>
      </c>
      <c r="D66" s="37">
        <v>68.358230000000006</v>
      </c>
      <c r="E66" s="38">
        <f t="shared" si="3"/>
        <v>45.30635604453871</v>
      </c>
      <c r="F66" s="38">
        <f t="shared" si="4"/>
        <v>-82.521769999999989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60</v>
      </c>
      <c r="D67" s="32">
        <f>D71+D70</f>
        <v>4.9749999999999996</v>
      </c>
      <c r="E67" s="34">
        <f t="shared" si="3"/>
        <v>8.2916666666666661</v>
      </c>
      <c r="F67" s="34">
        <f t="shared" si="4"/>
        <v>-55.024999999999999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8</v>
      </c>
      <c r="D71" s="37">
        <v>4.9749999999999996</v>
      </c>
      <c r="E71" s="34">
        <f t="shared" si="3"/>
        <v>62.187499999999993</v>
      </c>
      <c r="F71" s="34">
        <f t="shared" si="4"/>
        <v>-3.0250000000000004</v>
      </c>
    </row>
    <row r="72" spans="1:7" ht="15.75" customHeight="1">
      <c r="A72" s="46" t="s">
        <v>384</v>
      </c>
      <c r="B72" s="47" t="s">
        <v>387</v>
      </c>
      <c r="C72" s="37">
        <v>50</v>
      </c>
      <c r="D72" s="37">
        <v>0</v>
      </c>
      <c r="E72" s="34">
        <f>SUM(D72/C72*100)</f>
        <v>0</v>
      </c>
      <c r="F72" s="34">
        <f>SUM(D72-C72)</f>
        <v>-50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5706.0013300000001</v>
      </c>
      <c r="D73" s="48">
        <f>SUM(D74:D77)</f>
        <v>310.72402</v>
      </c>
      <c r="E73" s="34">
        <f t="shared" si="3"/>
        <v>5.4455651520151322</v>
      </c>
      <c r="F73" s="34">
        <f t="shared" si="4"/>
        <v>-5395.2773100000004</v>
      </c>
    </row>
    <row r="74" spans="1:7" ht="18.75" customHeight="1">
      <c r="A74" s="35" t="s">
        <v>60</v>
      </c>
      <c r="B74" s="39" t="s">
        <v>61</v>
      </c>
      <c r="C74" s="49">
        <v>15.188000000000001</v>
      </c>
      <c r="D74" s="37">
        <v>0</v>
      </c>
      <c r="E74" s="38">
        <f t="shared" si="3"/>
        <v>0</v>
      </c>
      <c r="F74" s="38">
        <f t="shared" si="4"/>
        <v>-15.188000000000001</v>
      </c>
    </row>
    <row r="75" spans="1:7" s="6" customFormat="1" ht="20.25" customHeight="1">
      <c r="A75" s="35" t="s">
        <v>62</v>
      </c>
      <c r="B75" s="39" t="s">
        <v>63</v>
      </c>
      <c r="C75" s="49">
        <v>400.35199999999998</v>
      </c>
      <c r="D75" s="37">
        <v>50</v>
      </c>
      <c r="E75" s="38">
        <f t="shared" si="3"/>
        <v>12.489009671489089</v>
      </c>
      <c r="F75" s="38">
        <f t="shared" si="4"/>
        <v>-350.35199999999998</v>
      </c>
      <c r="G75" s="50"/>
    </row>
    <row r="76" spans="1:7" ht="20.25" customHeight="1">
      <c r="A76" s="35" t="s">
        <v>64</v>
      </c>
      <c r="B76" s="39" t="s">
        <v>65</v>
      </c>
      <c r="C76" s="49">
        <v>5136.4613300000001</v>
      </c>
      <c r="D76" s="37">
        <v>248.22402</v>
      </c>
      <c r="E76" s="38">
        <f t="shared" si="3"/>
        <v>4.8325881195721951</v>
      </c>
      <c r="F76" s="38">
        <f t="shared" si="4"/>
        <v>-4888.2373100000004</v>
      </c>
    </row>
    <row r="77" spans="1:7">
      <c r="A77" s="35" t="s">
        <v>66</v>
      </c>
      <c r="B77" s="39" t="s">
        <v>67</v>
      </c>
      <c r="C77" s="49">
        <f>65+89</f>
        <v>154</v>
      </c>
      <c r="D77" s="37">
        <v>12.5</v>
      </c>
      <c r="E77" s="38">
        <f t="shared" si="3"/>
        <v>8.1168831168831161</v>
      </c>
      <c r="F77" s="38">
        <f t="shared" si="4"/>
        <v>-141.5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476.375</v>
      </c>
      <c r="D78" s="32">
        <f>SUM(D79:D81)</f>
        <v>239.56307000000001</v>
      </c>
      <c r="E78" s="34">
        <f t="shared" si="3"/>
        <v>50.288757806350034</v>
      </c>
      <c r="F78" s="34">
        <f t="shared" si="4"/>
        <v>-236.81192999999999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476.375</v>
      </c>
      <c r="D81" s="37">
        <v>239.56307000000001</v>
      </c>
      <c r="E81" s="38">
        <f>SUM(D81/C81*100)</f>
        <v>50.288757806350034</v>
      </c>
      <c r="F81" s="38">
        <f t="shared" si="4"/>
        <v>-236.81192999999999</v>
      </c>
    </row>
    <row r="82" spans="1:6" s="6" customFormat="1">
      <c r="A82" s="30" t="s">
        <v>86</v>
      </c>
      <c r="B82" s="31" t="s">
        <v>87</v>
      </c>
      <c r="C82" s="32">
        <f>C83</f>
        <v>2982.0149999999999</v>
      </c>
      <c r="D82" s="32">
        <f>D83</f>
        <v>1705.3824</v>
      </c>
      <c r="E82" s="34">
        <f t="shared" si="3"/>
        <v>57.188927621088425</v>
      </c>
      <c r="F82" s="34">
        <f t="shared" si="4"/>
        <v>-1276.6325999999999</v>
      </c>
    </row>
    <row r="83" spans="1:6" ht="18.75" customHeight="1">
      <c r="A83" s="35" t="s">
        <v>88</v>
      </c>
      <c r="B83" s="39" t="s">
        <v>234</v>
      </c>
      <c r="C83" s="37">
        <v>2982.0149999999999</v>
      </c>
      <c r="D83" s="37">
        <v>1705.3824</v>
      </c>
      <c r="E83" s="38">
        <f t="shared" si="3"/>
        <v>57.188927621088425</v>
      </c>
      <c r="F83" s="38">
        <f t="shared" si="4"/>
        <v>-1276.6325999999999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59</v>
      </c>
      <c r="D89" s="32">
        <f>D90+D91+D92+D93+D94</f>
        <v>30.550999999999998</v>
      </c>
      <c r="E89" s="38">
        <f t="shared" si="3"/>
        <v>51.78135593220339</v>
      </c>
      <c r="F89" s="22">
        <f>F90+F91+F92+F93+F94</f>
        <v>-28.449000000000002</v>
      </c>
    </row>
    <row r="90" spans="1:6" ht="17.25" customHeight="1">
      <c r="A90" s="35" t="s">
        <v>97</v>
      </c>
      <c r="B90" s="39" t="s">
        <v>98</v>
      </c>
      <c r="C90" s="37">
        <f>22+37</f>
        <v>59</v>
      </c>
      <c r="D90" s="37">
        <f>3.221+27.33</f>
        <v>30.550999999999998</v>
      </c>
      <c r="E90" s="38">
        <f t="shared" si="3"/>
        <v>51.78135593220339</v>
      </c>
      <c r="F90" s="38">
        <f>SUM(D90-C90)</f>
        <v>-28.449000000000002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5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1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402">
        <f>C57+C65+C67+C73+C78+C82+C84+C89+C95</f>
        <v>10740.769329999999</v>
      </c>
      <c r="D99" s="402">
        <f>D57+D65+D67+D73+D78+D82+D84+D89+D95</f>
        <v>2942.00027</v>
      </c>
      <c r="E99" s="34">
        <f t="shared" si="3"/>
        <v>27.390964088416936</v>
      </c>
      <c r="F99" s="34">
        <f t="shared" si="4"/>
        <v>-7798.7690599999987</v>
      </c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A54C432C-6C68-4B53-A75C-446EB3A61B2B}" scale="70" showPageBreaks="1" printArea="1" hiddenRows="1" view="pageBreakPreview" topLeftCell="A66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printArea="1" hiddenRows="1" view="pageBreakPreview">
      <selection activeCell="F27" sqref="F27:F28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view="pageBreakPreview" zoomScale="70" zoomScaleSheetLayoutView="70" workbookViewId="0">
      <selection activeCell="A2" sqref="A2:F2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452" t="s">
        <v>383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1750.1619999999998</v>
      </c>
      <c r="D4" s="5">
        <f>D5+D12+D14+D17+D7</f>
        <v>376.20296000000002</v>
      </c>
      <c r="E4" s="5">
        <f>SUM(D4/C4*100)</f>
        <v>21.495322147321222</v>
      </c>
      <c r="F4" s="5">
        <f>SUM(D4-C4)</f>
        <v>-1373.9590399999997</v>
      </c>
    </row>
    <row r="5" spans="1:6" s="6" customFormat="1">
      <c r="A5" s="3">
        <v>1010000000</v>
      </c>
      <c r="B5" s="4" t="s">
        <v>6</v>
      </c>
      <c r="C5" s="5">
        <f>C6</f>
        <v>91.6</v>
      </c>
      <c r="D5" s="5">
        <f>D6</f>
        <v>54.864519999999999</v>
      </c>
      <c r="E5" s="5">
        <f t="shared" ref="E5:E48" si="0">SUM(D5/C5*100)</f>
        <v>59.895764192139744</v>
      </c>
      <c r="F5" s="5">
        <f t="shared" ref="F5:F48" si="1">SUM(D5-C5)</f>
        <v>-36.735479999999995</v>
      </c>
    </row>
    <row r="6" spans="1:6">
      <c r="A6" s="7">
        <v>1010200001</v>
      </c>
      <c r="B6" s="8" t="s">
        <v>229</v>
      </c>
      <c r="C6" s="9">
        <v>91.6</v>
      </c>
      <c r="D6" s="10">
        <v>54.864519999999999</v>
      </c>
      <c r="E6" s="9">
        <f t="shared" ref="E6:E11" si="2">SUM(D6/C6*100)</f>
        <v>59.895764192139744</v>
      </c>
      <c r="F6" s="9">
        <f t="shared" si="1"/>
        <v>-36.735479999999995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203.27281000000002</v>
      </c>
      <c r="E7" s="5">
        <f t="shared" si="2"/>
        <v>48.333842971276397</v>
      </c>
      <c r="F7" s="5">
        <f t="shared" si="1"/>
        <v>-217.28718999999998</v>
      </c>
    </row>
    <row r="8" spans="1:6">
      <c r="A8" s="7">
        <v>1030223001</v>
      </c>
      <c r="B8" s="8" t="s">
        <v>283</v>
      </c>
      <c r="C8" s="9">
        <v>156.87</v>
      </c>
      <c r="D8" s="10">
        <v>88.094080000000005</v>
      </c>
      <c r="E8" s="9">
        <f t="shared" si="2"/>
        <v>56.157378721234139</v>
      </c>
      <c r="F8" s="9">
        <f t="shared" si="1"/>
        <v>-68.775919999999999</v>
      </c>
    </row>
    <row r="9" spans="1:6">
      <c r="A9" s="7">
        <v>1030224001</v>
      </c>
      <c r="B9" s="8" t="s">
        <v>289</v>
      </c>
      <c r="C9" s="9">
        <v>1.68</v>
      </c>
      <c r="D9" s="10">
        <v>0.66781999999999997</v>
      </c>
      <c r="E9" s="9">
        <f t="shared" si="2"/>
        <v>39.751190476190473</v>
      </c>
      <c r="F9" s="9">
        <f t="shared" si="1"/>
        <v>-1.0121799999999999</v>
      </c>
    </row>
    <row r="10" spans="1:6">
      <c r="A10" s="7">
        <v>1030225001</v>
      </c>
      <c r="B10" s="8" t="s">
        <v>282</v>
      </c>
      <c r="C10" s="9">
        <v>262.01</v>
      </c>
      <c r="D10" s="10">
        <v>132.81415000000001</v>
      </c>
      <c r="E10" s="9">
        <f t="shared" si="2"/>
        <v>50.69048891263693</v>
      </c>
      <c r="F10" s="9">
        <f t="shared" si="1"/>
        <v>-129.19584999999998</v>
      </c>
    </row>
    <row r="11" spans="1:6">
      <c r="A11" s="7">
        <v>1030226001</v>
      </c>
      <c r="B11" s="8" t="s">
        <v>291</v>
      </c>
      <c r="C11" s="9">
        <v>0</v>
      </c>
      <c r="D11" s="10">
        <v>-18.303239999999999</v>
      </c>
      <c r="E11" s="9" t="e">
        <f t="shared" si="2"/>
        <v>#DIV/0!</v>
      </c>
      <c r="F11" s="9">
        <f t="shared" si="1"/>
        <v>-18.303239999999999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1225</v>
      </c>
      <c r="D14" s="5">
        <f>D15+D16</f>
        <v>114.83082999999999</v>
      </c>
      <c r="E14" s="5">
        <f t="shared" si="0"/>
        <v>9.3739453061224491</v>
      </c>
      <c r="F14" s="5">
        <f t="shared" si="1"/>
        <v>-1110.1691700000001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14.23786</v>
      </c>
      <c r="E15" s="9">
        <f t="shared" si="0"/>
        <v>6.0586638297872337</v>
      </c>
      <c r="F15" s="9">
        <f>SUM(D15-C15)</f>
        <v>-220.76213999999999</v>
      </c>
    </row>
    <row r="16" spans="1:6" ht="15.75" customHeight="1">
      <c r="A16" s="7">
        <v>1060600000</v>
      </c>
      <c r="B16" s="11" t="s">
        <v>8</v>
      </c>
      <c r="C16" s="9">
        <v>990</v>
      </c>
      <c r="D16" s="10">
        <v>100.59296999999999</v>
      </c>
      <c r="E16" s="9">
        <f t="shared" si="0"/>
        <v>10.160906060606061</v>
      </c>
      <c r="F16" s="9">
        <f t="shared" si="1"/>
        <v>-889.40702999999996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3.1309999999999998</v>
      </c>
      <c r="E17" s="5">
        <f t="shared" si="0"/>
        <v>39.127718070482373</v>
      </c>
      <c r="F17" s="5">
        <f t="shared" si="1"/>
        <v>-4.8710000000000004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3.1309999999999998</v>
      </c>
      <c r="E18" s="9">
        <f t="shared" si="0"/>
        <v>39.127718070482373</v>
      </c>
      <c r="F18" s="9">
        <f t="shared" si="1"/>
        <v>-4.8710000000000004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50</v>
      </c>
      <c r="D25" s="5">
        <f>D26+D29+D31+D34</f>
        <v>0.25512000000000001</v>
      </c>
      <c r="E25" s="5">
        <f t="shared" si="0"/>
        <v>0.51024000000000003</v>
      </c>
      <c r="F25" s="5">
        <f t="shared" si="1"/>
        <v>-49.744880000000002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50</v>
      </c>
      <c r="D26" s="5">
        <f>D27+D28+D30</f>
        <v>0.25512000000000001</v>
      </c>
      <c r="E26" s="5">
        <f t="shared" si="0"/>
        <v>0.51024000000000003</v>
      </c>
      <c r="F26" s="5">
        <f t="shared" si="1"/>
        <v>-49.744880000000002</v>
      </c>
    </row>
    <row r="27" spans="1:6" ht="15" customHeight="1">
      <c r="A27" s="16">
        <v>1110502510</v>
      </c>
      <c r="B27" s="17" t="s">
        <v>226</v>
      </c>
      <c r="C27" s="12">
        <v>50</v>
      </c>
      <c r="D27" s="10">
        <v>0.25512000000000001</v>
      </c>
      <c r="E27" s="5">
        <f t="shared" si="0"/>
        <v>0.51024000000000003</v>
      </c>
      <c r="F27" s="9">
        <f t="shared" si="1"/>
        <v>-49.744880000000002</v>
      </c>
    </row>
    <row r="28" spans="1:6" ht="19.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hidden="1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 hidden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idden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idden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1800.1619999999998</v>
      </c>
      <c r="D37" s="127">
        <f>D4+D25</f>
        <v>376.45808</v>
      </c>
      <c r="E37" s="5">
        <f t="shared" si="0"/>
        <v>20.912455656768671</v>
      </c>
      <c r="F37" s="5">
        <f t="shared" si="1"/>
        <v>-1423.7039199999999</v>
      </c>
    </row>
    <row r="38" spans="1:8" s="6" customFormat="1">
      <c r="A38" s="3">
        <v>2000000000</v>
      </c>
      <c r="B38" s="4" t="s">
        <v>20</v>
      </c>
      <c r="C38" s="5">
        <f>C39+C41+C42+C44+C45+C46+C40</f>
        <v>3591.1860000000001</v>
      </c>
      <c r="D38" s="5">
        <f>D39+D41+D42+D44+D45+D46+D40</f>
        <v>1218.471</v>
      </c>
      <c r="E38" s="5">
        <f t="shared" si="0"/>
        <v>33.929487361556873</v>
      </c>
      <c r="F38" s="5">
        <f t="shared" si="1"/>
        <v>-2372.7150000000001</v>
      </c>
      <c r="G38" s="19"/>
    </row>
    <row r="39" spans="1:8">
      <c r="A39" s="16">
        <v>2021000000</v>
      </c>
      <c r="B39" s="17" t="s">
        <v>21</v>
      </c>
      <c r="C39" s="12">
        <v>975.07100000000003</v>
      </c>
      <c r="D39" s="20">
        <v>592.18700000000001</v>
      </c>
      <c r="E39" s="9">
        <f t="shared" si="0"/>
        <v>60.732705618360093</v>
      </c>
      <c r="F39" s="9">
        <f t="shared" si="1"/>
        <v>-382.88400000000001</v>
      </c>
    </row>
    <row r="40" spans="1:8" ht="15.75" customHeight="1">
      <c r="A40" s="16">
        <v>2021500200</v>
      </c>
      <c r="B40" s="17" t="s">
        <v>232</v>
      </c>
      <c r="C40" s="12">
        <v>584</v>
      </c>
      <c r="D40" s="20">
        <v>296.5</v>
      </c>
      <c r="E40" s="9">
        <f t="shared" si="0"/>
        <v>50.770547945205479</v>
      </c>
      <c r="F40" s="9">
        <f t="shared" si="1"/>
        <v>-287.5</v>
      </c>
    </row>
    <row r="41" spans="1:8">
      <c r="A41" s="16">
        <v>2022000000</v>
      </c>
      <c r="B41" s="17" t="s">
        <v>22</v>
      </c>
      <c r="C41" s="12">
        <v>1703.097</v>
      </c>
      <c r="D41" s="10">
        <v>46.32</v>
      </c>
      <c r="E41" s="9">
        <f t="shared" si="0"/>
        <v>2.7197511357250939</v>
      </c>
      <c r="F41" s="9">
        <f t="shared" si="1"/>
        <v>-1656.777</v>
      </c>
    </row>
    <row r="42" spans="1:8" ht="13.5" customHeight="1">
      <c r="A42" s="16">
        <v>2023000000</v>
      </c>
      <c r="B42" s="17" t="s">
        <v>23</v>
      </c>
      <c r="C42" s="12">
        <v>74.096000000000004</v>
      </c>
      <c r="D42" s="252">
        <v>35.542000000000002</v>
      </c>
      <c r="E42" s="9">
        <f t="shared" si="0"/>
        <v>47.967501619520618</v>
      </c>
      <c r="F42" s="9">
        <f t="shared" si="1"/>
        <v>-38.554000000000002</v>
      </c>
    </row>
    <row r="43" spans="1:8" hidden="1">
      <c r="A43" s="16">
        <v>2070503010</v>
      </c>
      <c r="B43" s="17" t="s">
        <v>271</v>
      </c>
      <c r="C43" s="12">
        <v>0</v>
      </c>
      <c r="D43" s="252">
        <v>0</v>
      </c>
      <c r="E43" s="9" t="e">
        <f t="shared" si="0"/>
        <v>#DIV/0!</v>
      </c>
      <c r="F43" s="9">
        <f t="shared" si="1"/>
        <v>0</v>
      </c>
    </row>
    <row r="44" spans="1:8" hidden="1">
      <c r="A44" s="16">
        <v>2020400000</v>
      </c>
      <c r="B44" s="17" t="s">
        <v>24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3">
        <v>247.922</v>
      </c>
      <c r="E45" s="9">
        <v>922</v>
      </c>
      <c r="F45" s="9">
        <f t="shared" si="1"/>
        <v>-7</v>
      </c>
      <c r="G45" s="371"/>
      <c r="H45" s="371"/>
    </row>
    <row r="46" spans="1:8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 hidden="1">
      <c r="A47" s="3">
        <v>3000000000</v>
      </c>
      <c r="B47" s="13" t="s">
        <v>27</v>
      </c>
      <c r="C47" s="28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407">
        <f>SUM(C37,C38,C47)</f>
        <v>5391.348</v>
      </c>
      <c r="D48" s="406">
        <f>D37+D38</f>
        <v>1594.9290799999999</v>
      </c>
      <c r="E48" s="5">
        <f t="shared" si="0"/>
        <v>29.583122439879599</v>
      </c>
      <c r="F48" s="5">
        <f t="shared" si="1"/>
        <v>-3796.4189200000001</v>
      </c>
    </row>
    <row r="49" spans="1:6" s="6" customFormat="1">
      <c r="A49" s="3"/>
      <c r="B49" s="21" t="s">
        <v>321</v>
      </c>
      <c r="C49" s="93">
        <f>C48-C94</f>
        <v>-53.65987000000041</v>
      </c>
      <c r="D49" s="93">
        <f>D48-D94</f>
        <v>43.269199999999728</v>
      </c>
      <c r="E49" s="22"/>
      <c r="F49" s="22"/>
    </row>
    <row r="50" spans="1:6" ht="23.25" customHeight="1">
      <c r="A50" s="23"/>
      <c r="B50" s="24"/>
      <c r="C50" s="333"/>
      <c r="D50" s="333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361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1266.1849999999999</v>
      </c>
      <c r="D53" s="32">
        <f>D54+D55+D56+D57+D58+D60+D59</f>
        <v>570.99287000000004</v>
      </c>
      <c r="E53" s="34">
        <f>SUM(D53/C53*100)</f>
        <v>45.09553264333411</v>
      </c>
      <c r="F53" s="34">
        <f>SUM(D53-C53)</f>
        <v>-695.19212999999991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1257.971</v>
      </c>
      <c r="D55" s="37">
        <v>567.77886999999998</v>
      </c>
      <c r="E55" s="38">
        <f t="shared" ref="E55:E94" si="3">SUM(D55/C55*100)</f>
        <v>45.134495946249956</v>
      </c>
      <c r="F55" s="38">
        <f t="shared" ref="F55:F94" si="4">SUM(D55-C55)</f>
        <v>-690.19213000000002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3.214</v>
      </c>
      <c r="D60" s="37">
        <v>3.214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31.651309999999999</v>
      </c>
      <c r="E61" s="34">
        <f t="shared" si="3"/>
        <v>44.834424046688191</v>
      </c>
      <c r="F61" s="34">
        <f t="shared" si="4"/>
        <v>-38.944690000000008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31.651309999999999</v>
      </c>
      <c r="E62" s="38">
        <f t="shared" si="3"/>
        <v>44.834424046688191</v>
      </c>
      <c r="F62" s="38">
        <f t="shared" si="4"/>
        <v>-38.944690000000008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30.7</v>
      </c>
      <c r="D63" s="32">
        <f>D67+D66</f>
        <v>3.6059999999999999</v>
      </c>
      <c r="E63" s="34">
        <f t="shared" si="3"/>
        <v>11.745928338762216</v>
      </c>
      <c r="F63" s="34">
        <f t="shared" si="4"/>
        <v>-27.094000000000001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15.7</v>
      </c>
      <c r="D67" s="37">
        <v>3.6059999999999999</v>
      </c>
      <c r="E67" s="34">
        <f t="shared" si="3"/>
        <v>22.96815286624204</v>
      </c>
      <c r="F67" s="34">
        <f t="shared" si="4"/>
        <v>-12.093999999999999</v>
      </c>
    </row>
    <row r="68" spans="1:7" s="6" customFormat="1">
      <c r="A68" s="30" t="s">
        <v>58</v>
      </c>
      <c r="B68" s="31" t="s">
        <v>59</v>
      </c>
      <c r="C68" s="48">
        <f>SUM(C69:C72)</f>
        <v>2067.6508699999999</v>
      </c>
      <c r="D68" s="48">
        <f>SUM(D69:D72)</f>
        <v>433.72226000000001</v>
      </c>
      <c r="E68" s="34">
        <f t="shared" si="3"/>
        <v>20.976571349301345</v>
      </c>
      <c r="F68" s="34">
        <f t="shared" si="4"/>
        <v>-1633.9286099999999</v>
      </c>
    </row>
    <row r="69" spans="1:7" ht="15" customHeight="1">
      <c r="A69" s="35" t="s">
        <v>60</v>
      </c>
      <c r="B69" s="39" t="s">
        <v>61</v>
      </c>
      <c r="C69" s="49">
        <v>11</v>
      </c>
      <c r="D69" s="37">
        <v>5.625</v>
      </c>
      <c r="E69" s="38">
        <f t="shared" si="3"/>
        <v>51.136363636363633</v>
      </c>
      <c r="F69" s="38">
        <f t="shared" si="4"/>
        <v>-5.375</v>
      </c>
    </row>
    <row r="70" spans="1:7" s="6" customFormat="1" ht="18" customHeight="1">
      <c r="A70" s="35" t="s">
        <v>62</v>
      </c>
      <c r="B70" s="39" t="s">
        <v>63</v>
      </c>
      <c r="C70" s="49">
        <v>75.102000000000004</v>
      </c>
      <c r="D70" s="37">
        <v>75.101420000000005</v>
      </c>
      <c r="E70" s="38">
        <f t="shared" si="3"/>
        <v>99.999227716971589</v>
      </c>
      <c r="F70" s="38">
        <f t="shared" si="4"/>
        <v>-5.7999999999935881E-4</v>
      </c>
      <c r="G70" s="50"/>
    </row>
    <row r="71" spans="1:7">
      <c r="A71" s="35" t="s">
        <v>64</v>
      </c>
      <c r="B71" s="39" t="s">
        <v>65</v>
      </c>
      <c r="C71" s="49">
        <v>1947.7388699999999</v>
      </c>
      <c r="D71" s="37">
        <v>319.18583999999998</v>
      </c>
      <c r="E71" s="38">
        <f t="shared" si="3"/>
        <v>16.387506811937268</v>
      </c>
      <c r="F71" s="38">
        <f t="shared" si="4"/>
        <v>-1628.55303</v>
      </c>
    </row>
    <row r="72" spans="1:7">
      <c r="A72" s="35" t="s">
        <v>66</v>
      </c>
      <c r="B72" s="39" t="s">
        <v>67</v>
      </c>
      <c r="C72" s="49">
        <v>33.81</v>
      </c>
      <c r="D72" s="37">
        <v>33.81</v>
      </c>
      <c r="E72" s="38">
        <f t="shared" si="3"/>
        <v>100</v>
      </c>
      <c r="F72" s="38">
        <f t="shared" si="4"/>
        <v>0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460.37599999999998</v>
      </c>
      <c r="D73" s="32">
        <f>SUM(D75:D76)</f>
        <v>74.672439999999995</v>
      </c>
      <c r="E73" s="34">
        <f t="shared" si="3"/>
        <v>16.219881140632875</v>
      </c>
      <c r="F73" s="34">
        <f t="shared" si="4"/>
        <v>-385.70355999999998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>
        <v>198</v>
      </c>
      <c r="D75" s="37">
        <v>0</v>
      </c>
      <c r="E75" s="38">
        <f t="shared" si="3"/>
        <v>0</v>
      </c>
      <c r="F75" s="38">
        <f t="shared" si="4"/>
        <v>-198</v>
      </c>
    </row>
    <row r="76" spans="1:7">
      <c r="A76" s="35" t="s">
        <v>74</v>
      </c>
      <c r="B76" s="39" t="s">
        <v>75</v>
      </c>
      <c r="C76" s="37">
        <v>262.37599999999998</v>
      </c>
      <c r="D76" s="37">
        <v>74.672439999999995</v>
      </c>
      <c r="E76" s="38">
        <f>SUM(D76/C76*100)</f>
        <v>28.46008781290972</v>
      </c>
      <c r="F76" s="38">
        <f t="shared" si="4"/>
        <v>-187.70355999999998</v>
      </c>
    </row>
    <row r="77" spans="1:7" s="6" customFormat="1">
      <c r="A77" s="30" t="s">
        <v>86</v>
      </c>
      <c r="B77" s="31" t="s">
        <v>87</v>
      </c>
      <c r="C77" s="32">
        <f>C78</f>
        <v>1544.5</v>
      </c>
      <c r="D77" s="32">
        <f>SUM(D78)</f>
        <v>435</v>
      </c>
      <c r="E77" s="34">
        <f t="shared" si="3"/>
        <v>28.164454516024602</v>
      </c>
      <c r="F77" s="34">
        <f t="shared" si="4"/>
        <v>-1109.5</v>
      </c>
    </row>
    <row r="78" spans="1:7" ht="17.25" customHeight="1">
      <c r="A78" s="35" t="s">
        <v>88</v>
      </c>
      <c r="B78" s="39" t="s">
        <v>234</v>
      </c>
      <c r="C78" s="37">
        <v>1544.5</v>
      </c>
      <c r="D78" s="37">
        <v>435</v>
      </c>
      <c r="E78" s="38">
        <f t="shared" si="3"/>
        <v>28.164454516024602</v>
      </c>
      <c r="F78" s="38">
        <f t="shared" si="4"/>
        <v>-1109.5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52">
        <v>5</v>
      </c>
      <c r="D85" s="352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52"/>
      <c r="D86" s="352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52"/>
      <c r="D87" s="352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52"/>
      <c r="D88" s="352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52"/>
      <c r="D89" s="352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53">
        <f>C91+C92+C93</f>
        <v>0</v>
      </c>
      <c r="D90" s="353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54"/>
      <c r="D91" s="352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54"/>
      <c r="D92" s="352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55">
        <v>0</v>
      </c>
      <c r="D93" s="356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406">
        <f>C53+C61+C63+C68+C73+C77+C79+C84+C90</f>
        <v>5445.0078700000004</v>
      </c>
      <c r="D94" s="406">
        <f>D53+D61+D63+D68+D73+D77+D79+D84+D90</f>
        <v>1551.6598800000002</v>
      </c>
      <c r="E94" s="34">
        <f t="shared" si="3"/>
        <v>28.496926304718091</v>
      </c>
      <c r="F94" s="34">
        <f t="shared" si="4"/>
        <v>-3893.3479900000002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A54C432C-6C68-4B53-A75C-446EB3A61B2B}" scale="70" showPageBreaks="1" hiddenRows="1" view="pageBreakPreview" topLeftCell="A18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 topLeftCell="A17">
      <selection activeCell="C48" sqref="C48:D48"/>
      <pageMargins left="0.7" right="0.7" top="0.75" bottom="0.75" header="0.3" footer="0.3"/>
      <pageSetup paperSize="9" scale="62" orientation="portrait" r:id="rId2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3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4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BZ10" zoomScale="75" zoomScaleSheetLayoutView="75" workbookViewId="0">
      <selection activeCell="CA17" sqref="CA17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9.855468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8" style="153" hidden="1" customWidth="1"/>
    <col min="67" max="67" width="13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44" t="s">
        <v>137</v>
      </c>
      <c r="Y1" s="444"/>
      <c r="Z1" s="444"/>
      <c r="AA1" s="156"/>
      <c r="AB1" s="156"/>
      <c r="AC1" s="156"/>
      <c r="AD1" s="439"/>
      <c r="AE1" s="439"/>
      <c r="AF1" s="439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39"/>
      <c r="AE2" s="439"/>
      <c r="AF2" s="439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43" t="s">
        <v>139</v>
      </c>
      <c r="Y3" s="443"/>
      <c r="Z3" s="443"/>
      <c r="AA3" s="158"/>
      <c r="AB3" s="158"/>
      <c r="AC3" s="158"/>
      <c r="AD3" s="443"/>
      <c r="AE3" s="443"/>
      <c r="AF3" s="443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47" t="s">
        <v>140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45" t="s">
        <v>362</v>
      </c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24" t="s">
        <v>141</v>
      </c>
      <c r="B7" s="424" t="s">
        <v>142</v>
      </c>
      <c r="C7" s="415" t="s">
        <v>143</v>
      </c>
      <c r="D7" s="416"/>
      <c r="E7" s="417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15" t="s">
        <v>145</v>
      </c>
      <c r="DH7" s="416"/>
      <c r="DI7" s="417"/>
      <c r="DJ7" s="415"/>
      <c r="DK7" s="416"/>
      <c r="DL7" s="416"/>
      <c r="DM7" s="416"/>
      <c r="DN7" s="416"/>
      <c r="DO7" s="416"/>
      <c r="DP7" s="416"/>
      <c r="DQ7" s="416"/>
      <c r="DR7" s="416"/>
      <c r="DS7" s="416"/>
      <c r="DT7" s="416"/>
      <c r="DU7" s="416"/>
      <c r="DV7" s="416"/>
      <c r="DW7" s="416"/>
      <c r="DX7" s="416"/>
      <c r="DY7" s="416"/>
      <c r="DZ7" s="416"/>
      <c r="EA7" s="416"/>
      <c r="EB7" s="416"/>
      <c r="EC7" s="416"/>
      <c r="ED7" s="416"/>
      <c r="EE7" s="416"/>
      <c r="EF7" s="416"/>
      <c r="EG7" s="416"/>
      <c r="EH7" s="416"/>
      <c r="EI7" s="416"/>
      <c r="EJ7" s="416"/>
      <c r="EK7" s="416"/>
      <c r="EL7" s="416"/>
      <c r="EM7" s="416"/>
      <c r="EN7" s="416"/>
      <c r="EO7" s="416"/>
      <c r="EP7" s="416"/>
      <c r="EQ7" s="416"/>
      <c r="ER7" s="416"/>
      <c r="ES7" s="416"/>
      <c r="ET7" s="416"/>
      <c r="EU7" s="416"/>
      <c r="EV7" s="417"/>
      <c r="EW7" s="415" t="s">
        <v>146</v>
      </c>
      <c r="EX7" s="416"/>
      <c r="EY7" s="417"/>
    </row>
    <row r="8" spans="1:159" s="169" customFormat="1" ht="15" customHeight="1">
      <c r="A8" s="424"/>
      <c r="B8" s="424"/>
      <c r="C8" s="418"/>
      <c r="D8" s="419"/>
      <c r="E8" s="420"/>
      <c r="F8" s="418" t="s">
        <v>147</v>
      </c>
      <c r="G8" s="419"/>
      <c r="H8" s="420"/>
      <c r="I8" s="440" t="s">
        <v>148</v>
      </c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441"/>
      <c r="AX8" s="44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24" t="s">
        <v>149</v>
      </c>
      <c r="CA8" s="424"/>
      <c r="CB8" s="424"/>
      <c r="CC8" s="421" t="s">
        <v>148</v>
      </c>
      <c r="CD8" s="422"/>
      <c r="CE8" s="422"/>
      <c r="CF8" s="422"/>
      <c r="CG8" s="422"/>
      <c r="CH8" s="422"/>
      <c r="CI8" s="422"/>
      <c r="CJ8" s="422"/>
      <c r="CK8" s="422"/>
      <c r="CL8" s="422"/>
      <c r="CM8" s="422"/>
      <c r="CN8" s="422"/>
      <c r="CO8" s="170"/>
      <c r="CP8" s="170"/>
      <c r="CQ8" s="170"/>
      <c r="CR8" s="170"/>
      <c r="CS8" s="170"/>
      <c r="CT8" s="170"/>
      <c r="CU8" s="175"/>
      <c r="CV8" s="175"/>
      <c r="CW8" s="176"/>
      <c r="CX8" s="418" t="s">
        <v>150</v>
      </c>
      <c r="CY8" s="419"/>
      <c r="CZ8" s="420"/>
      <c r="DA8" s="449"/>
      <c r="DB8" s="450"/>
      <c r="DC8" s="451"/>
      <c r="DD8" s="449"/>
      <c r="DE8" s="450"/>
      <c r="DF8" s="451"/>
      <c r="DG8" s="418"/>
      <c r="DH8" s="419"/>
      <c r="DI8" s="420"/>
      <c r="DJ8" s="418" t="s">
        <v>148</v>
      </c>
      <c r="DK8" s="419"/>
      <c r="DL8" s="419"/>
      <c r="DM8" s="419"/>
      <c r="DN8" s="419"/>
      <c r="DO8" s="419"/>
      <c r="DP8" s="419"/>
      <c r="DQ8" s="419"/>
      <c r="DR8" s="419"/>
      <c r="DS8" s="419"/>
      <c r="DT8" s="419"/>
      <c r="DU8" s="419"/>
      <c r="DV8" s="419"/>
      <c r="DW8" s="419"/>
      <c r="DX8" s="419"/>
      <c r="DY8" s="419"/>
      <c r="DZ8" s="419"/>
      <c r="EA8" s="419"/>
      <c r="EB8" s="419"/>
      <c r="EC8" s="419"/>
      <c r="ED8" s="419"/>
      <c r="EE8" s="419"/>
      <c r="EF8" s="419"/>
      <c r="EG8" s="419"/>
      <c r="EH8" s="419"/>
      <c r="EI8" s="419"/>
      <c r="EJ8" s="419"/>
      <c r="EK8" s="419"/>
      <c r="EL8" s="419"/>
      <c r="EM8" s="419"/>
      <c r="EN8" s="419"/>
      <c r="EO8" s="419"/>
      <c r="EP8" s="419"/>
      <c r="EQ8" s="419"/>
      <c r="ER8" s="419"/>
      <c r="ES8" s="419"/>
      <c r="ET8" s="419"/>
      <c r="EU8" s="419"/>
      <c r="EV8" s="420"/>
      <c r="EW8" s="418"/>
      <c r="EX8" s="419"/>
      <c r="EY8" s="420"/>
    </row>
    <row r="9" spans="1:159" s="169" customFormat="1" ht="15" customHeight="1">
      <c r="A9" s="424"/>
      <c r="B9" s="424"/>
      <c r="C9" s="418"/>
      <c r="D9" s="419"/>
      <c r="E9" s="420"/>
      <c r="F9" s="418"/>
      <c r="G9" s="419"/>
      <c r="H9" s="420"/>
      <c r="I9" s="415" t="s">
        <v>151</v>
      </c>
      <c r="J9" s="416"/>
      <c r="K9" s="417"/>
      <c r="L9" s="415" t="s">
        <v>293</v>
      </c>
      <c r="M9" s="416"/>
      <c r="N9" s="417"/>
      <c r="O9" s="415" t="s">
        <v>296</v>
      </c>
      <c r="P9" s="416"/>
      <c r="Q9" s="417"/>
      <c r="R9" s="415" t="s">
        <v>294</v>
      </c>
      <c r="S9" s="416"/>
      <c r="T9" s="417"/>
      <c r="U9" s="415" t="s">
        <v>295</v>
      </c>
      <c r="V9" s="416"/>
      <c r="W9" s="417"/>
      <c r="X9" s="415" t="s">
        <v>152</v>
      </c>
      <c r="Y9" s="416"/>
      <c r="Z9" s="417"/>
      <c r="AA9" s="415" t="s">
        <v>153</v>
      </c>
      <c r="AB9" s="416"/>
      <c r="AC9" s="417"/>
      <c r="AD9" s="415" t="s">
        <v>154</v>
      </c>
      <c r="AE9" s="416"/>
      <c r="AF9" s="417"/>
      <c r="AG9" s="424" t="s">
        <v>155</v>
      </c>
      <c r="AH9" s="424"/>
      <c r="AI9" s="424"/>
      <c r="AJ9" s="415" t="s">
        <v>255</v>
      </c>
      <c r="AK9" s="416"/>
      <c r="AL9" s="417"/>
      <c r="AM9" s="415" t="s">
        <v>156</v>
      </c>
      <c r="AN9" s="416"/>
      <c r="AO9" s="417"/>
      <c r="AP9" s="415" t="s">
        <v>348</v>
      </c>
      <c r="AQ9" s="416"/>
      <c r="AR9" s="417"/>
      <c r="AS9" s="415" t="s">
        <v>157</v>
      </c>
      <c r="AT9" s="416"/>
      <c r="AU9" s="417"/>
      <c r="AV9" s="415" t="s">
        <v>158</v>
      </c>
      <c r="AW9" s="416"/>
      <c r="AX9" s="417"/>
      <c r="AY9" s="415" t="s">
        <v>257</v>
      </c>
      <c r="AZ9" s="416"/>
      <c r="BA9" s="417"/>
      <c r="BB9" s="415" t="s">
        <v>358</v>
      </c>
      <c r="BC9" s="416"/>
      <c r="BD9" s="417"/>
      <c r="BE9" s="415" t="s">
        <v>159</v>
      </c>
      <c r="BF9" s="416"/>
      <c r="BG9" s="417"/>
      <c r="BH9" s="415" t="s">
        <v>160</v>
      </c>
      <c r="BI9" s="416"/>
      <c r="BJ9" s="417"/>
      <c r="BK9" s="415" t="s">
        <v>286</v>
      </c>
      <c r="BL9" s="416"/>
      <c r="BM9" s="417"/>
      <c r="BN9" s="415" t="s">
        <v>253</v>
      </c>
      <c r="BO9" s="416"/>
      <c r="BP9" s="417"/>
      <c r="BQ9" s="415" t="s">
        <v>161</v>
      </c>
      <c r="BR9" s="416"/>
      <c r="BS9" s="417"/>
      <c r="BT9" s="415" t="s">
        <v>162</v>
      </c>
      <c r="BU9" s="416"/>
      <c r="BV9" s="417"/>
      <c r="BW9" s="418" t="s">
        <v>163</v>
      </c>
      <c r="BX9" s="419"/>
      <c r="BY9" s="419"/>
      <c r="BZ9" s="424"/>
      <c r="CA9" s="424"/>
      <c r="CB9" s="424"/>
      <c r="CC9" s="415" t="s">
        <v>349</v>
      </c>
      <c r="CD9" s="416"/>
      <c r="CE9" s="417"/>
      <c r="CF9" s="415" t="s">
        <v>350</v>
      </c>
      <c r="CG9" s="416"/>
      <c r="CH9" s="417"/>
      <c r="CI9" s="415" t="s">
        <v>164</v>
      </c>
      <c r="CJ9" s="416"/>
      <c r="CK9" s="417"/>
      <c r="CL9" s="415" t="s">
        <v>165</v>
      </c>
      <c r="CM9" s="416"/>
      <c r="CN9" s="417"/>
      <c r="CO9" s="415" t="s">
        <v>24</v>
      </c>
      <c r="CP9" s="416"/>
      <c r="CQ9" s="417"/>
      <c r="CR9" s="415" t="s">
        <v>303</v>
      </c>
      <c r="CS9" s="416"/>
      <c r="CT9" s="417"/>
      <c r="CU9" s="415" t="s">
        <v>351</v>
      </c>
      <c r="CV9" s="416"/>
      <c r="CW9" s="417"/>
      <c r="CX9" s="418"/>
      <c r="CY9" s="419"/>
      <c r="CZ9" s="420"/>
      <c r="DA9" s="415" t="s">
        <v>271</v>
      </c>
      <c r="DB9" s="416"/>
      <c r="DC9" s="417"/>
      <c r="DD9" s="424" t="s">
        <v>166</v>
      </c>
      <c r="DE9" s="424"/>
      <c r="DF9" s="424"/>
      <c r="DG9" s="418"/>
      <c r="DH9" s="419"/>
      <c r="DI9" s="420"/>
      <c r="DJ9" s="425" t="s">
        <v>167</v>
      </c>
      <c r="DK9" s="426"/>
      <c r="DL9" s="427"/>
      <c r="DM9" s="434" t="s">
        <v>144</v>
      </c>
      <c r="DN9" s="435"/>
      <c r="DO9" s="435"/>
      <c r="DP9" s="435"/>
      <c r="DQ9" s="435"/>
      <c r="DR9" s="435"/>
      <c r="DS9" s="435"/>
      <c r="DT9" s="435"/>
      <c r="DU9" s="435"/>
      <c r="DV9" s="435"/>
      <c r="DW9" s="435"/>
      <c r="DX9" s="436"/>
      <c r="DY9" s="425" t="s">
        <v>168</v>
      </c>
      <c r="DZ9" s="426"/>
      <c r="EA9" s="427"/>
      <c r="EB9" s="425" t="s">
        <v>169</v>
      </c>
      <c r="EC9" s="426"/>
      <c r="ED9" s="427"/>
      <c r="EE9" s="425" t="s">
        <v>170</v>
      </c>
      <c r="EF9" s="426"/>
      <c r="EG9" s="427"/>
      <c r="EH9" s="425" t="s">
        <v>171</v>
      </c>
      <c r="EI9" s="426"/>
      <c r="EJ9" s="427"/>
      <c r="EK9" s="415" t="s">
        <v>297</v>
      </c>
      <c r="EL9" s="416"/>
      <c r="EM9" s="417"/>
      <c r="EN9" s="415" t="s">
        <v>172</v>
      </c>
      <c r="EO9" s="416"/>
      <c r="EP9" s="417"/>
      <c r="EQ9" s="415" t="s">
        <v>329</v>
      </c>
      <c r="ER9" s="416"/>
      <c r="ES9" s="417"/>
      <c r="ET9" s="424" t="s">
        <v>299</v>
      </c>
      <c r="EU9" s="424"/>
      <c r="EV9" s="424"/>
      <c r="EW9" s="418"/>
      <c r="EX9" s="419"/>
      <c r="EY9" s="420"/>
    </row>
    <row r="10" spans="1:159" s="169" customFormat="1" ht="15" customHeight="1">
      <c r="A10" s="424"/>
      <c r="B10" s="424"/>
      <c r="C10" s="418"/>
      <c r="D10" s="419"/>
      <c r="E10" s="420"/>
      <c r="F10" s="418"/>
      <c r="G10" s="419"/>
      <c r="H10" s="420"/>
      <c r="I10" s="418"/>
      <c r="J10" s="419"/>
      <c r="K10" s="420"/>
      <c r="L10" s="418"/>
      <c r="M10" s="419"/>
      <c r="N10" s="420"/>
      <c r="O10" s="418"/>
      <c r="P10" s="419"/>
      <c r="Q10" s="420"/>
      <c r="R10" s="418"/>
      <c r="S10" s="419"/>
      <c r="T10" s="420"/>
      <c r="U10" s="418"/>
      <c r="V10" s="419"/>
      <c r="W10" s="420"/>
      <c r="X10" s="418"/>
      <c r="Y10" s="419"/>
      <c r="Z10" s="420"/>
      <c r="AA10" s="418"/>
      <c r="AB10" s="419"/>
      <c r="AC10" s="420"/>
      <c r="AD10" s="418"/>
      <c r="AE10" s="419"/>
      <c r="AF10" s="420"/>
      <c r="AG10" s="424"/>
      <c r="AH10" s="424"/>
      <c r="AI10" s="424"/>
      <c r="AJ10" s="418"/>
      <c r="AK10" s="419"/>
      <c r="AL10" s="420"/>
      <c r="AM10" s="418"/>
      <c r="AN10" s="419"/>
      <c r="AO10" s="420"/>
      <c r="AP10" s="418"/>
      <c r="AQ10" s="419"/>
      <c r="AR10" s="420"/>
      <c r="AS10" s="418"/>
      <c r="AT10" s="419"/>
      <c r="AU10" s="420"/>
      <c r="AV10" s="418"/>
      <c r="AW10" s="419"/>
      <c r="AX10" s="420"/>
      <c r="AY10" s="418"/>
      <c r="AZ10" s="419"/>
      <c r="BA10" s="420"/>
      <c r="BB10" s="418"/>
      <c r="BC10" s="419"/>
      <c r="BD10" s="420"/>
      <c r="BE10" s="418"/>
      <c r="BF10" s="419"/>
      <c r="BG10" s="420"/>
      <c r="BH10" s="418"/>
      <c r="BI10" s="419"/>
      <c r="BJ10" s="420"/>
      <c r="BK10" s="418"/>
      <c r="BL10" s="419"/>
      <c r="BM10" s="420"/>
      <c r="BN10" s="418"/>
      <c r="BO10" s="419"/>
      <c r="BP10" s="420"/>
      <c r="BQ10" s="418"/>
      <c r="BR10" s="419"/>
      <c r="BS10" s="420"/>
      <c r="BT10" s="418"/>
      <c r="BU10" s="419"/>
      <c r="BV10" s="420"/>
      <c r="BW10" s="418"/>
      <c r="BX10" s="419"/>
      <c r="BY10" s="419"/>
      <c r="BZ10" s="424"/>
      <c r="CA10" s="424"/>
      <c r="CB10" s="424"/>
      <c r="CC10" s="418"/>
      <c r="CD10" s="419"/>
      <c r="CE10" s="420"/>
      <c r="CF10" s="418"/>
      <c r="CG10" s="419"/>
      <c r="CH10" s="420"/>
      <c r="CI10" s="418"/>
      <c r="CJ10" s="419"/>
      <c r="CK10" s="420"/>
      <c r="CL10" s="418"/>
      <c r="CM10" s="419"/>
      <c r="CN10" s="420"/>
      <c r="CO10" s="418"/>
      <c r="CP10" s="419"/>
      <c r="CQ10" s="420"/>
      <c r="CR10" s="418"/>
      <c r="CS10" s="419"/>
      <c r="CT10" s="420"/>
      <c r="CU10" s="418"/>
      <c r="CV10" s="419"/>
      <c r="CW10" s="420"/>
      <c r="CX10" s="418"/>
      <c r="CY10" s="419"/>
      <c r="CZ10" s="420"/>
      <c r="DA10" s="418"/>
      <c r="DB10" s="419"/>
      <c r="DC10" s="420"/>
      <c r="DD10" s="424"/>
      <c r="DE10" s="424"/>
      <c r="DF10" s="424"/>
      <c r="DG10" s="418"/>
      <c r="DH10" s="419"/>
      <c r="DI10" s="420"/>
      <c r="DJ10" s="428"/>
      <c r="DK10" s="429"/>
      <c r="DL10" s="430"/>
      <c r="DM10" s="324"/>
      <c r="DN10" s="325"/>
      <c r="DO10" s="325"/>
      <c r="DP10" s="327"/>
      <c r="DQ10" s="327"/>
      <c r="DR10" s="327"/>
      <c r="DS10" s="325"/>
      <c r="DT10" s="325"/>
      <c r="DU10" s="325"/>
      <c r="DV10" s="325"/>
      <c r="DW10" s="325"/>
      <c r="DX10" s="326"/>
      <c r="DY10" s="428"/>
      <c r="DZ10" s="429"/>
      <c r="EA10" s="430"/>
      <c r="EB10" s="428"/>
      <c r="EC10" s="429"/>
      <c r="ED10" s="430"/>
      <c r="EE10" s="428"/>
      <c r="EF10" s="429"/>
      <c r="EG10" s="430"/>
      <c r="EH10" s="428"/>
      <c r="EI10" s="429"/>
      <c r="EJ10" s="430"/>
      <c r="EK10" s="418"/>
      <c r="EL10" s="419"/>
      <c r="EM10" s="420"/>
      <c r="EN10" s="418"/>
      <c r="EO10" s="419"/>
      <c r="EP10" s="420"/>
      <c r="EQ10" s="418"/>
      <c r="ER10" s="419"/>
      <c r="ES10" s="420"/>
      <c r="ET10" s="424"/>
      <c r="EU10" s="424"/>
      <c r="EV10" s="424"/>
      <c r="EW10" s="418"/>
      <c r="EX10" s="419"/>
      <c r="EY10" s="420"/>
    </row>
    <row r="11" spans="1:159" s="169" customFormat="1" ht="177.75" customHeight="1">
      <c r="A11" s="424"/>
      <c r="B11" s="424"/>
      <c r="C11" s="421"/>
      <c r="D11" s="422"/>
      <c r="E11" s="448"/>
      <c r="F11" s="421"/>
      <c r="G11" s="422"/>
      <c r="H11" s="423"/>
      <c r="I11" s="421"/>
      <c r="J11" s="422"/>
      <c r="K11" s="423"/>
      <c r="L11" s="421"/>
      <c r="M11" s="422"/>
      <c r="N11" s="423"/>
      <c r="O11" s="421"/>
      <c r="P11" s="422"/>
      <c r="Q11" s="423"/>
      <c r="R11" s="421"/>
      <c r="S11" s="422"/>
      <c r="T11" s="423"/>
      <c r="U11" s="421"/>
      <c r="V11" s="422"/>
      <c r="W11" s="423"/>
      <c r="X11" s="421"/>
      <c r="Y11" s="422"/>
      <c r="Z11" s="423"/>
      <c r="AA11" s="421"/>
      <c r="AB11" s="422"/>
      <c r="AC11" s="423"/>
      <c r="AD11" s="421"/>
      <c r="AE11" s="422"/>
      <c r="AF11" s="423"/>
      <c r="AG11" s="424"/>
      <c r="AH11" s="424"/>
      <c r="AI11" s="424"/>
      <c r="AJ11" s="421"/>
      <c r="AK11" s="422"/>
      <c r="AL11" s="423"/>
      <c r="AM11" s="421"/>
      <c r="AN11" s="422"/>
      <c r="AO11" s="423"/>
      <c r="AP11" s="421"/>
      <c r="AQ11" s="422"/>
      <c r="AR11" s="423"/>
      <c r="AS11" s="421"/>
      <c r="AT11" s="422"/>
      <c r="AU11" s="423"/>
      <c r="AV11" s="421"/>
      <c r="AW11" s="422"/>
      <c r="AX11" s="423"/>
      <c r="AY11" s="421"/>
      <c r="AZ11" s="422"/>
      <c r="BA11" s="423"/>
      <c r="BB11" s="421"/>
      <c r="BC11" s="422"/>
      <c r="BD11" s="423"/>
      <c r="BE11" s="421"/>
      <c r="BF11" s="422"/>
      <c r="BG11" s="423"/>
      <c r="BH11" s="421"/>
      <c r="BI11" s="422"/>
      <c r="BJ11" s="423"/>
      <c r="BK11" s="421"/>
      <c r="BL11" s="422"/>
      <c r="BM11" s="423"/>
      <c r="BN11" s="421"/>
      <c r="BO11" s="422"/>
      <c r="BP11" s="423"/>
      <c r="BQ11" s="421"/>
      <c r="BR11" s="422"/>
      <c r="BS11" s="423"/>
      <c r="BT11" s="421"/>
      <c r="BU11" s="422"/>
      <c r="BV11" s="423"/>
      <c r="BW11" s="421"/>
      <c r="BX11" s="422"/>
      <c r="BY11" s="422"/>
      <c r="BZ11" s="424"/>
      <c r="CA11" s="424"/>
      <c r="CB11" s="424"/>
      <c r="CC11" s="421"/>
      <c r="CD11" s="422"/>
      <c r="CE11" s="423"/>
      <c r="CF11" s="421"/>
      <c r="CG11" s="422"/>
      <c r="CH11" s="423"/>
      <c r="CI11" s="421"/>
      <c r="CJ11" s="422"/>
      <c r="CK11" s="423"/>
      <c r="CL11" s="421"/>
      <c r="CM11" s="422"/>
      <c r="CN11" s="423"/>
      <c r="CO11" s="421"/>
      <c r="CP11" s="422"/>
      <c r="CQ11" s="423"/>
      <c r="CR11" s="421"/>
      <c r="CS11" s="422"/>
      <c r="CT11" s="423"/>
      <c r="CU11" s="421"/>
      <c r="CV11" s="422"/>
      <c r="CW11" s="423"/>
      <c r="CX11" s="421"/>
      <c r="CY11" s="422"/>
      <c r="CZ11" s="423"/>
      <c r="DA11" s="421"/>
      <c r="DB11" s="422"/>
      <c r="DC11" s="423"/>
      <c r="DD11" s="424"/>
      <c r="DE11" s="424"/>
      <c r="DF11" s="424"/>
      <c r="DG11" s="421"/>
      <c r="DH11" s="422"/>
      <c r="DI11" s="423"/>
      <c r="DJ11" s="431"/>
      <c r="DK11" s="432"/>
      <c r="DL11" s="433"/>
      <c r="DM11" s="431" t="s">
        <v>173</v>
      </c>
      <c r="DN11" s="432"/>
      <c r="DO11" s="433"/>
      <c r="DP11" s="434" t="s">
        <v>174</v>
      </c>
      <c r="DQ11" s="435"/>
      <c r="DR11" s="436"/>
      <c r="DS11" s="431" t="s">
        <v>175</v>
      </c>
      <c r="DT11" s="432"/>
      <c r="DU11" s="433"/>
      <c r="DV11" s="431" t="s">
        <v>250</v>
      </c>
      <c r="DW11" s="432"/>
      <c r="DX11" s="433"/>
      <c r="DY11" s="431"/>
      <c r="DZ11" s="432"/>
      <c r="EA11" s="433"/>
      <c r="EB11" s="431"/>
      <c r="EC11" s="432"/>
      <c r="ED11" s="433"/>
      <c r="EE11" s="431"/>
      <c r="EF11" s="432"/>
      <c r="EG11" s="433"/>
      <c r="EH11" s="431"/>
      <c r="EI11" s="432"/>
      <c r="EJ11" s="433"/>
      <c r="EK11" s="421"/>
      <c r="EL11" s="422"/>
      <c r="EM11" s="423"/>
      <c r="EN11" s="421"/>
      <c r="EO11" s="422"/>
      <c r="EP11" s="423"/>
      <c r="EQ11" s="421"/>
      <c r="ER11" s="422"/>
      <c r="ES11" s="423"/>
      <c r="ET11" s="424"/>
      <c r="EU11" s="424"/>
      <c r="EV11" s="424"/>
      <c r="EW11" s="421"/>
      <c r="EX11" s="422"/>
      <c r="EY11" s="423"/>
      <c r="FA11" s="174"/>
      <c r="FB11" s="174"/>
      <c r="FC11" s="174"/>
    </row>
    <row r="12" spans="1:159" s="169" customFormat="1" ht="42.75" customHeight="1">
      <c r="A12" s="424"/>
      <c r="B12" s="424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3265.0649999999996</v>
      </c>
      <c r="D14" s="375">
        <f t="shared" ref="D14:D29" si="0">G14+CA14+CY14</f>
        <v>1764.0907100000002</v>
      </c>
      <c r="E14" s="184">
        <f t="shared" ref="E14:E29" si="1">D14/C14*100</f>
        <v>54.029267717488025</v>
      </c>
      <c r="F14" s="185">
        <f t="shared" ref="F14:F29" si="2">I14+X14+AA14+AD14+AG14+AM14+AS14+BE14+BQ14+BN14+AJ14+AY14+L14+R14+O14+U14+AP14</f>
        <v>592.89</v>
      </c>
      <c r="G14" s="185">
        <f t="shared" ref="G14:G29" si="3">J14+Y14+AB14+AE14+AH14+AN14+AT14+BF14+AK14+BR14+BO14+AZ14+M14+S14+P14+V14+AQ14</f>
        <v>201.60929999999999</v>
      </c>
      <c r="H14" s="184">
        <f>G14/F14*100</f>
        <v>34.004503364873749</v>
      </c>
      <c r="I14" s="297">
        <f>Але!C6</f>
        <v>59</v>
      </c>
      <c r="J14" s="297">
        <f>Але!D6</f>
        <v>27.875630000000001</v>
      </c>
      <c r="K14" s="184">
        <f>J14/I14*100</f>
        <v>47.246830508474581</v>
      </c>
      <c r="L14" s="184">
        <f>Але!C8</f>
        <v>82.02</v>
      </c>
      <c r="M14" s="184">
        <f>Але!D8</f>
        <v>46.059350000000002</v>
      </c>
      <c r="N14" s="184">
        <f>M14/L14*100</f>
        <v>56.15624237990734</v>
      </c>
      <c r="O14" s="184">
        <f>Але!C9</f>
        <v>0.88</v>
      </c>
      <c r="P14" s="184">
        <f>Але!D9</f>
        <v>0.34916999999999998</v>
      </c>
      <c r="Q14" s="184">
        <f>P14/O14*100</f>
        <v>39.678409090909092</v>
      </c>
      <c r="R14" s="184">
        <f>Але!C10</f>
        <v>136.99</v>
      </c>
      <c r="S14" s="184">
        <f>Але!D10</f>
        <v>69.440889999999996</v>
      </c>
      <c r="T14" s="184">
        <f>S14/R14*100</f>
        <v>50.690481057011446</v>
      </c>
      <c r="U14" s="184">
        <f>Але!C11</f>
        <v>0</v>
      </c>
      <c r="V14" s="184">
        <f>Але!D11</f>
        <v>-9.5697600000000005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1.43587</v>
      </c>
      <c r="AC14" s="184">
        <f>AB14/AA14*100</f>
        <v>3.5896749999999997</v>
      </c>
      <c r="AD14" s="186">
        <f>Але!C16</f>
        <v>210</v>
      </c>
      <c r="AE14" s="186">
        <f>Але!D16</f>
        <v>20.967750000000002</v>
      </c>
      <c r="AF14" s="184">
        <f t="shared" ref="AF14:AF29" si="4">AE14/AD14*100</f>
        <v>9.9846428571428589</v>
      </c>
      <c r="AG14" s="184">
        <f>Але!C18</f>
        <v>3</v>
      </c>
      <c r="AH14" s="184">
        <f>Але!D18</f>
        <v>2.9</v>
      </c>
      <c r="AI14" s="184">
        <f>AH14/AG14*100</f>
        <v>96.666666666666671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186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3"/>
      <c r="BP14" s="184" t="e">
        <f>BO14/BN14*100</f>
        <v>#DIV/0!</v>
      </c>
      <c r="BQ14" s="184">
        <f>Але!C34</f>
        <v>0</v>
      </c>
      <c r="BR14" s="184">
        <f>Але!D35</f>
        <v>42.150399999999998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2672.1749999999997</v>
      </c>
      <c r="CA14" s="359">
        <f>CD14+CG14+CJ14+CM14+CS14+CP14+CV14</f>
        <v>1562.4814100000001</v>
      </c>
      <c r="CB14" s="184">
        <f>CA14/BZ14*100</f>
        <v>58.472271090029672</v>
      </c>
      <c r="CC14" s="187">
        <f>Але!C39</f>
        <v>1200.0539999999999</v>
      </c>
      <c r="CD14" s="187">
        <f>Але!D39</f>
        <v>726.97</v>
      </c>
      <c r="CE14" s="184">
        <f>CD14/CC14*100</f>
        <v>60.578107318504017</v>
      </c>
      <c r="CF14" s="184">
        <f>Але!C40</f>
        <v>746.60500000000002</v>
      </c>
      <c r="CG14" s="184">
        <f>Але!D40</f>
        <v>585</v>
      </c>
      <c r="CH14" s="184">
        <f>CG14/CF14*100</f>
        <v>78.354685543225671</v>
      </c>
      <c r="CI14" s="184">
        <f>Але!C41</f>
        <v>512.54</v>
      </c>
      <c r="CJ14" s="184">
        <f>Але!D41</f>
        <v>84.132999999999996</v>
      </c>
      <c r="CK14" s="184">
        <f t="shared" ref="CK14:CK29" si="7">CJ14/CI14*100</f>
        <v>16.414913957934989</v>
      </c>
      <c r="CL14" s="184">
        <f>Але!C42</f>
        <v>72.975999999999999</v>
      </c>
      <c r="CM14" s="184">
        <f>Але!D42</f>
        <v>35.545999999999999</v>
      </c>
      <c r="CN14" s="184">
        <f t="shared" ref="CN14:CN31" si="8">CM14/CL14*100</f>
        <v>48.709164656873497</v>
      </c>
      <c r="CO14" s="184"/>
      <c r="CP14" s="184"/>
      <c r="CQ14" s="184"/>
      <c r="CR14" s="184">
        <f>Але!C43</f>
        <v>140</v>
      </c>
      <c r="CS14" s="184">
        <f>Але!D43</f>
        <v>133</v>
      </c>
      <c r="CT14" s="184">
        <f t="shared" ref="CT14:CT31" si="9">CS14/CR14*100</f>
        <v>95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3288.7005399999998</v>
      </c>
      <c r="DH14" s="204">
        <f>DK14+DZ14+EC14+EF14+EI14+EL14+EO14+ER14+EU14</f>
        <v>1555.17155</v>
      </c>
      <c r="DI14" s="184">
        <f>DH14/DG14*100</f>
        <v>47.288329572263216</v>
      </c>
      <c r="DJ14" s="186">
        <f>DM14+DP14+DS14+DV14</f>
        <v>1072.2360000000001</v>
      </c>
      <c r="DK14" s="186">
        <f>DN14+DQ14+DT14+DW14</f>
        <v>519.36524999999995</v>
      </c>
      <c r="DL14" s="184">
        <f>DK14/DJ14*100</f>
        <v>48.437587434109645</v>
      </c>
      <c r="DM14" s="184">
        <f>Але!C54</f>
        <v>1064.854</v>
      </c>
      <c r="DN14" s="184">
        <f>Але!D54</f>
        <v>516.98374999999999</v>
      </c>
      <c r="DO14" s="184">
        <f>DN14/DM14*100</f>
        <v>48.549730761212331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70.596000000000004</v>
      </c>
      <c r="DZ14" s="184">
        <f>Але!D61</f>
        <v>33.984499999999997</v>
      </c>
      <c r="EA14" s="184">
        <f>DZ14/DY14*100</f>
        <v>48.139412997903555</v>
      </c>
      <c r="EB14" s="184">
        <f>Але!C62</f>
        <v>3.9</v>
      </c>
      <c r="EC14" s="184">
        <f>Але!D62</f>
        <v>0</v>
      </c>
      <c r="ED14" s="184">
        <f>EC14/EB14*100</f>
        <v>0</v>
      </c>
      <c r="EE14" s="186">
        <f>Але!C67</f>
        <v>1015.35754</v>
      </c>
      <c r="EF14" s="186">
        <f>Але!D67</f>
        <v>140.22257999999999</v>
      </c>
      <c r="EG14" s="184">
        <f>EF14/EE14*100</f>
        <v>13.810167795671266</v>
      </c>
      <c r="EH14" s="186">
        <f>Але!C72</f>
        <v>256.11099999999999</v>
      </c>
      <c r="EI14" s="186">
        <f>Але!D72</f>
        <v>172.11322000000001</v>
      </c>
      <c r="EJ14" s="184">
        <f>EI14/EH14*100</f>
        <v>67.202587940385229</v>
      </c>
      <c r="EK14" s="186">
        <f>Але!C76</f>
        <v>865.5</v>
      </c>
      <c r="EL14" s="190">
        <f>Але!D76</f>
        <v>689.48599999999999</v>
      </c>
      <c r="EM14" s="184">
        <f t="shared" ref="EM14:EM29" si="10">EL14/EK14*100</f>
        <v>79.663316002310808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0</v>
      </c>
      <c r="ES14" s="184">
        <f>ER14/EQ14*100</f>
        <v>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208.91916000000015</v>
      </c>
      <c r="EY14" s="184">
        <f>EX14/EW14*100%</f>
        <v>-8.8391955504294888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10063.915000000001</v>
      </c>
      <c r="D15" s="375">
        <f t="shared" si="0"/>
        <v>4354.2187699999995</v>
      </c>
      <c r="E15" s="187">
        <f t="shared" si="1"/>
        <v>43.26565526437772</v>
      </c>
      <c r="F15" s="185">
        <f t="shared" si="2"/>
        <v>3711.2200000000003</v>
      </c>
      <c r="G15" s="185">
        <f t="shared" si="3"/>
        <v>1430.7108000000001</v>
      </c>
      <c r="H15" s="187">
        <f t="shared" ref="H15:H29" si="15">G15/F15*100</f>
        <v>38.550956289306484</v>
      </c>
      <c r="I15" s="195">
        <f>Сун!C6</f>
        <v>482.9</v>
      </c>
      <c r="J15" s="195">
        <f>Сун!D6</f>
        <v>185.57818</v>
      </c>
      <c r="K15" s="187">
        <f t="shared" ref="K15:K29" si="16">J15/I15*100</f>
        <v>38.429939946158626</v>
      </c>
      <c r="L15" s="187">
        <f>Сун!C8</f>
        <v>208.63</v>
      </c>
      <c r="M15" s="187">
        <f>Сун!D8</f>
        <v>117.16065999999999</v>
      </c>
      <c r="N15" s="184">
        <f t="shared" ref="N15:N29" si="17">M15/L15*100</f>
        <v>56.157149019795803</v>
      </c>
      <c r="O15" s="184">
        <f>Сун!C9</f>
        <v>2.2000000000000002</v>
      </c>
      <c r="P15" s="184">
        <f>Сун!D9</f>
        <v>0.88817000000000002</v>
      </c>
      <c r="Q15" s="184">
        <f t="shared" ref="Q15:Q29" si="18">P15/O15*100</f>
        <v>40.371363636363633</v>
      </c>
      <c r="R15" s="184">
        <f>Сун!C10</f>
        <v>348.49</v>
      </c>
      <c r="S15" s="184">
        <f>Сун!D10</f>
        <v>176.63603000000001</v>
      </c>
      <c r="T15" s="184">
        <f t="shared" ref="T15:T29" si="19">S15/R15*100</f>
        <v>50.686111509655937</v>
      </c>
      <c r="U15" s="184">
        <f>Сун!C11</f>
        <v>0</v>
      </c>
      <c r="V15" s="184">
        <f>Сун!D11</f>
        <v>-24.342510000000001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23.733000000000001</v>
      </c>
      <c r="Z15" s="187">
        <f t="shared" ref="Z15:Z29" si="21">Y15/X15*100</f>
        <v>59.332499999999996</v>
      </c>
      <c r="AA15" s="195">
        <f>Сун!C15</f>
        <v>295</v>
      </c>
      <c r="AB15" s="195">
        <f>Сун!D15</f>
        <v>27.49607</v>
      </c>
      <c r="AC15" s="187">
        <f t="shared" ref="AC15:AC29" si="22">AB15/AA15*100</f>
        <v>9.3207016949152539</v>
      </c>
      <c r="AD15" s="195">
        <f>Сун!C16</f>
        <v>1250</v>
      </c>
      <c r="AE15" s="195">
        <f>Сун!D16</f>
        <v>163.70131999999998</v>
      </c>
      <c r="AF15" s="187">
        <f t="shared" si="4"/>
        <v>13.0961056</v>
      </c>
      <c r="AG15" s="187">
        <f>Сун!C18</f>
        <v>12</v>
      </c>
      <c r="AH15" s="187">
        <f>Сун!D18</f>
        <v>6.8</v>
      </c>
      <c r="AI15" s="187">
        <f t="shared" ref="AI15:AI31" si="23">AH15/AG15*100</f>
        <v>56.666666666666664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28.4</v>
      </c>
      <c r="AR15" s="187">
        <f t="shared" ref="AR15:AR29" si="24">AQ15/AP15*100</f>
        <v>14.2</v>
      </c>
      <c r="AS15" s="188">
        <f>Сун!C29</f>
        <v>86</v>
      </c>
      <c r="AT15" s="195">
        <f>Сун!D29</f>
        <v>10.115</v>
      </c>
      <c r="AU15" s="187">
        <f t="shared" ref="AU15:AU29" si="25">AT15/AS15*100</f>
        <v>11.761627906976745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123.34488</v>
      </c>
      <c r="BA15" s="187">
        <f t="shared" ref="BA15:BA31" si="27">AZ15/AY15*100</f>
        <v>61.672440000000009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72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6352.6950000000006</v>
      </c>
      <c r="CA15" s="359">
        <f t="shared" ref="CA15:CA29" si="35">CD15+CG15+CJ15+CM15+CS15+CP15+CV15</f>
        <v>2923.5079699999997</v>
      </c>
      <c r="CB15" s="187">
        <f>CA15/BZ15*100</f>
        <v>46.019964282875208</v>
      </c>
      <c r="CC15" s="187">
        <f>Сун!C42</f>
        <v>3556.511</v>
      </c>
      <c r="CD15" s="187">
        <f>Сун!D42</f>
        <v>2223.431</v>
      </c>
      <c r="CE15" s="187">
        <f t="shared" ref="CE15:CE29" si="36">CD15/CC15*100</f>
        <v>62.517197331879473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8">
        <f>Сун!C44</f>
        <v>2232.34</v>
      </c>
      <c r="CJ15" s="187">
        <f>Сун!D44</f>
        <v>216.131</v>
      </c>
      <c r="CK15" s="187">
        <f t="shared" si="7"/>
        <v>9.6818137022138195</v>
      </c>
      <c r="CL15" s="187">
        <f>Сун!C46</f>
        <v>154.24100000000001</v>
      </c>
      <c r="CM15" s="187">
        <f>Сун!D46</f>
        <v>74.344999999999999</v>
      </c>
      <c r="CN15" s="187">
        <f t="shared" si="8"/>
        <v>48.200543305606161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10165.485549999999</v>
      </c>
      <c r="DH15" s="377">
        <f t="shared" ref="DG15:DH29" si="39">DK15+DZ15+EC15+EF15+EI15+EL15+EO15+ER15+EU15</f>
        <v>3645.7923000000001</v>
      </c>
      <c r="DI15" s="187">
        <f t="shared" ref="DI15:DI29" si="40">DH15/DG15*100</f>
        <v>35.864418694687934</v>
      </c>
      <c r="DJ15" s="195">
        <f>DM15+DP15+DS15+DV15</f>
        <v>1846.9180000000001</v>
      </c>
      <c r="DK15" s="195">
        <f t="shared" ref="DJ15:DK29" si="41">DN15+DQ15+DT15+DW15</f>
        <v>785.87626</v>
      </c>
      <c r="DL15" s="187">
        <f t="shared" ref="DL15:DL29" si="42">DK15/DJ15*100</f>
        <v>42.550684978975781</v>
      </c>
      <c r="DM15" s="187">
        <f>Сун!C59</f>
        <v>1840.8510000000001</v>
      </c>
      <c r="DN15" s="187">
        <f>Сун!D59</f>
        <v>779.80925999999999</v>
      </c>
      <c r="DO15" s="187">
        <f t="shared" ref="DO15:DO29" si="43">DN15/DM15*100</f>
        <v>42.361345920989798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0</v>
      </c>
      <c r="DT15" s="187">
        <f>Сун!D63</f>
        <v>0</v>
      </c>
      <c r="DU15" s="187" t="e">
        <f t="shared" ref="DU15:DU29" si="45">DT15/DS15*100</f>
        <v>#DIV/0!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150.881</v>
      </c>
      <c r="DZ15" s="187">
        <f>Сун!D66</f>
        <v>74.326999999999998</v>
      </c>
      <c r="EA15" s="187">
        <f t="shared" ref="EA15:EA31" si="47">DZ15/DY15*100</f>
        <v>49.262001179737673</v>
      </c>
      <c r="EB15" s="187">
        <f>Сун!C67</f>
        <v>4</v>
      </c>
      <c r="EC15" s="187">
        <f>Сун!D67</f>
        <v>0</v>
      </c>
      <c r="ED15" s="187">
        <f t="shared" ref="ED15:ED31" si="48">EC15/EB15*100</f>
        <v>0</v>
      </c>
      <c r="EE15" s="195">
        <f>Сун!C72</f>
        <v>3322.8485499999997</v>
      </c>
      <c r="EF15" s="195">
        <f>Сун!D72</f>
        <v>753.05944</v>
      </c>
      <c r="EG15" s="187">
        <f t="shared" ref="EG15:EG29" si="49">EF15/EE15*100</f>
        <v>22.663068408579743</v>
      </c>
      <c r="EH15" s="195">
        <f>Сун!C77</f>
        <v>1148.07</v>
      </c>
      <c r="EI15" s="195">
        <f>Сун!D77</f>
        <v>348.12322999999998</v>
      </c>
      <c r="EJ15" s="187">
        <f t="shared" ref="EJ15:EJ29" si="50">EI15/EH15*100</f>
        <v>30.322474239375648</v>
      </c>
      <c r="EK15" s="195">
        <f>Сун!C82</f>
        <v>3667.768</v>
      </c>
      <c r="EL15" s="197">
        <f>Сун!D82</f>
        <v>1666.98137</v>
      </c>
      <c r="EM15" s="187">
        <f t="shared" si="10"/>
        <v>45.449476902573984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12.425000000000001</v>
      </c>
      <c r="ES15" s="187">
        <f t="shared" ref="ES15:ES29" si="51">ER15/EQ15*100</f>
        <v>62.125000000000007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-101.57054999999855</v>
      </c>
      <c r="EX15" s="191">
        <f t="shared" si="13"/>
        <v>708.42646999999943</v>
      </c>
      <c r="EY15" s="184">
        <f>EX15/EW15*100%</f>
        <v>-6.9747231850177984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291">
        <f t="shared" si="14"/>
        <v>11333.68139</v>
      </c>
      <c r="D16" s="375">
        <f t="shared" si="0"/>
        <v>1890.2290300000002</v>
      </c>
      <c r="E16" s="187">
        <f t="shared" si="1"/>
        <v>16.677979245717971</v>
      </c>
      <c r="F16" s="185">
        <f t="shared" si="2"/>
        <v>1783.25</v>
      </c>
      <c r="G16" s="185">
        <f t="shared" si="3"/>
        <v>454.15603000000004</v>
      </c>
      <c r="H16" s="187">
        <f t="shared" si="15"/>
        <v>25.467883359035469</v>
      </c>
      <c r="I16" s="298">
        <f>Иль!C6</f>
        <v>82.1</v>
      </c>
      <c r="J16" s="298">
        <f>Иль!D6</f>
        <v>46.109610000000004</v>
      </c>
      <c r="K16" s="187">
        <f t="shared" si="16"/>
        <v>56.162740560292335</v>
      </c>
      <c r="L16" s="187">
        <f>Иль!C8</f>
        <v>222.96</v>
      </c>
      <c r="M16" s="187">
        <f>Иль!D8</f>
        <v>125.20987</v>
      </c>
      <c r="N16" s="184">
        <f t="shared" si="17"/>
        <v>56.157996950125579</v>
      </c>
      <c r="O16" s="184">
        <f>Иль!C9</f>
        <v>2.4</v>
      </c>
      <c r="P16" s="184">
        <f>Иль!D9</f>
        <v>0.94918999999999998</v>
      </c>
      <c r="Q16" s="184">
        <f t="shared" si="18"/>
        <v>39.549583333333331</v>
      </c>
      <c r="R16" s="184">
        <f>Иль!C10</f>
        <v>372.39</v>
      </c>
      <c r="S16" s="184">
        <f>Иль!D10</f>
        <v>188.77139</v>
      </c>
      <c r="T16" s="184">
        <f t="shared" si="19"/>
        <v>50.691852627621579</v>
      </c>
      <c r="U16" s="184">
        <f>Иль!C11</f>
        <v>0</v>
      </c>
      <c r="V16" s="184">
        <f>Иль!D11</f>
        <v>-26.014900000000001</v>
      </c>
      <c r="W16" s="184" t="e">
        <f t="shared" si="20"/>
        <v>#DIV/0!</v>
      </c>
      <c r="X16" s="195">
        <f>Иль!C13</f>
        <v>10</v>
      </c>
      <c r="Y16" s="195">
        <f>Иль!D13</f>
        <v>3.0432000000000001</v>
      </c>
      <c r="Z16" s="187">
        <f t="shared" si="21"/>
        <v>30.432000000000002</v>
      </c>
      <c r="AA16" s="195">
        <f>Иль!C15</f>
        <v>183.4</v>
      </c>
      <c r="AB16" s="195">
        <f>Иль!D15</f>
        <v>22.13616</v>
      </c>
      <c r="AC16" s="187">
        <f t="shared" si="22"/>
        <v>12.0698800436205</v>
      </c>
      <c r="AD16" s="195">
        <f>Иль!C16</f>
        <v>785</v>
      </c>
      <c r="AE16" s="195">
        <f>Иль!D16</f>
        <v>77.670609999999996</v>
      </c>
      <c r="AF16" s="187">
        <f t="shared" si="4"/>
        <v>9.8943452229299353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0.98</v>
      </c>
      <c r="AR16" s="187">
        <f t="shared" si="24"/>
        <v>0.98</v>
      </c>
      <c r="AS16" s="188">
        <f>Иль!C29</f>
        <v>20</v>
      </c>
      <c r="AT16" s="195">
        <f>Иль!D29</f>
        <v>15.3009</v>
      </c>
      <c r="AU16" s="187">
        <f t="shared" si="25"/>
        <v>76.504499999999993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72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9550.4313899999997</v>
      </c>
      <c r="CA16" s="359">
        <f t="shared" si="35"/>
        <v>1436.0730000000001</v>
      </c>
      <c r="CB16" s="187">
        <f>CA16/BZ16*100</f>
        <v>15.036734377293925</v>
      </c>
      <c r="CC16" s="187">
        <f>Иль!C42</f>
        <v>1972.912</v>
      </c>
      <c r="CD16" s="187">
        <f>Иль!D42</f>
        <v>1223.952</v>
      </c>
      <c r="CE16" s="187">
        <f t="shared" si="36"/>
        <v>62.03784051189308</v>
      </c>
      <c r="CF16" s="187">
        <f>Иль!C43</f>
        <v>320</v>
      </c>
      <c r="CG16" s="187">
        <f>Иль!D43</f>
        <v>50</v>
      </c>
      <c r="CH16" s="187">
        <f t="shared" si="37"/>
        <v>15.625</v>
      </c>
      <c r="CI16" s="184">
        <f>Иль!C44</f>
        <v>6989.9563900000003</v>
      </c>
      <c r="CJ16" s="187">
        <f>Иль!D44</f>
        <v>24.452999999999999</v>
      </c>
      <c r="CK16" s="187">
        <f t="shared" si="7"/>
        <v>0.34983050874227267</v>
      </c>
      <c r="CL16" s="187">
        <f>Иль!C46</f>
        <v>154.24</v>
      </c>
      <c r="CM16" s="187">
        <f>Иль!D46</f>
        <v>74.344999999999999</v>
      </c>
      <c r="CN16" s="187">
        <f t="shared" si="8"/>
        <v>48.200855809128626</v>
      </c>
      <c r="CO16" s="187">
        <f>Иль!C47</f>
        <v>0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63.323</v>
      </c>
      <c r="CT16" s="187">
        <f t="shared" si="9"/>
        <v>55.878330083036985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11444.50001</v>
      </c>
      <c r="DH16" s="377">
        <f t="shared" si="39"/>
        <v>1653.6295300000002</v>
      </c>
      <c r="DI16" s="187">
        <f t="shared" si="40"/>
        <v>14.449119913976915</v>
      </c>
      <c r="DJ16" s="195">
        <f t="shared" si="41"/>
        <v>1287.412</v>
      </c>
      <c r="DK16" s="195">
        <f t="shared" si="41"/>
        <v>679.06620000000009</v>
      </c>
      <c r="DL16" s="187">
        <f t="shared" si="42"/>
        <v>52.746611030501512</v>
      </c>
      <c r="DM16" s="187">
        <f>Иль!C59</f>
        <v>1265.029</v>
      </c>
      <c r="DN16" s="187">
        <f>Иль!D59</f>
        <v>668.58770000000004</v>
      </c>
      <c r="DO16" s="187">
        <f t="shared" si="43"/>
        <v>52.851570991653162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17.382999999999999</v>
      </c>
      <c r="DW16" s="187">
        <f>Иль!D64</f>
        <v>10.4785</v>
      </c>
      <c r="DX16" s="187">
        <f t="shared" si="46"/>
        <v>60.280158775815465</v>
      </c>
      <c r="DY16" s="187">
        <f>Иль!C66</f>
        <v>150.881</v>
      </c>
      <c r="DZ16" s="187">
        <f>Иль!D66</f>
        <v>67.66</v>
      </c>
      <c r="EA16" s="187">
        <f t="shared" si="47"/>
        <v>44.843287093802395</v>
      </c>
      <c r="EB16" s="187">
        <f>Иль!C67</f>
        <v>7.6</v>
      </c>
      <c r="EC16" s="187">
        <f>Иль!D67</f>
        <v>2.4700000000000002</v>
      </c>
      <c r="ED16" s="187">
        <f t="shared" si="48"/>
        <v>32.500000000000007</v>
      </c>
      <c r="EE16" s="195">
        <f>Иль!C72</f>
        <v>1937.69362</v>
      </c>
      <c r="EF16" s="195">
        <f>Иль!D72</f>
        <v>304.55200000000002</v>
      </c>
      <c r="EG16" s="187">
        <f t="shared" si="49"/>
        <v>15.717242233578702</v>
      </c>
      <c r="EH16" s="195">
        <f>Иль!C79</f>
        <v>6688.4133899999997</v>
      </c>
      <c r="EI16" s="195">
        <f>Иль!D79</f>
        <v>133.44979000000001</v>
      </c>
      <c r="EJ16" s="187">
        <f t="shared" si="50"/>
        <v>1.9952383654922383</v>
      </c>
      <c r="EK16" s="195">
        <f>Иль!C83</f>
        <v>1362.5</v>
      </c>
      <c r="EL16" s="197">
        <f>Иль!D83</f>
        <v>464.90154000000001</v>
      </c>
      <c r="EM16" s="187">
        <f t="shared" si="10"/>
        <v>34.121213944954135</v>
      </c>
      <c r="EN16" s="187">
        <f>Иль!C85</f>
        <v>0</v>
      </c>
      <c r="EO16" s="187">
        <f>Иль!D85</f>
        <v>0</v>
      </c>
      <c r="EP16" s="187" t="e">
        <f t="shared" si="11"/>
        <v>#DIV/0!</v>
      </c>
      <c r="EQ16" s="198">
        <f>Иль!C90</f>
        <v>10</v>
      </c>
      <c r="ER16" s="198">
        <f>Иль!D90</f>
        <v>1.53</v>
      </c>
      <c r="ES16" s="187">
        <f t="shared" si="51"/>
        <v>15.299999999999999</v>
      </c>
      <c r="ET16" s="187">
        <f>Иль!C96</f>
        <v>0</v>
      </c>
      <c r="EU16" s="187">
        <f>Иль!D96</f>
        <v>0</v>
      </c>
      <c r="EV16" s="184" t="e">
        <f t="shared" ref="EV16:EV29" si="52">EU16/ET16*100</f>
        <v>#DIV/0!</v>
      </c>
      <c r="EW16" s="191">
        <f t="shared" si="12"/>
        <v>-110.81862000000001</v>
      </c>
      <c r="EX16" s="191">
        <f t="shared" si="13"/>
        <v>236.59950000000003</v>
      </c>
      <c r="EY16" s="184">
        <f>EX16/EW16*100</f>
        <v>-213.5015758182154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291">
        <f t="shared" si="14"/>
        <v>6933.0590000000011</v>
      </c>
      <c r="D17" s="375">
        <f t="shared" si="0"/>
        <v>1589.7127800000001</v>
      </c>
      <c r="E17" s="187">
        <f t="shared" si="1"/>
        <v>22.929456968417547</v>
      </c>
      <c r="F17" s="185">
        <f t="shared" si="2"/>
        <v>4232.3300000000008</v>
      </c>
      <c r="G17" s="185">
        <f t="shared" si="3"/>
        <v>765.31078000000002</v>
      </c>
      <c r="H17" s="187">
        <f t="shared" si="15"/>
        <v>18.082493094820109</v>
      </c>
      <c r="I17" s="195">
        <f>Кад!C6</f>
        <v>456.3</v>
      </c>
      <c r="J17" s="195">
        <f>Кад!D6</f>
        <v>199.26757000000001</v>
      </c>
      <c r="K17" s="187">
        <f t="shared" si="16"/>
        <v>43.670298049528824</v>
      </c>
      <c r="L17" s="187">
        <f>Кад!C8</f>
        <v>265.95999999999998</v>
      </c>
      <c r="M17" s="187">
        <f>Кад!D8</f>
        <v>149.35749000000001</v>
      </c>
      <c r="N17" s="184">
        <f t="shared" si="17"/>
        <v>56.157877124379617</v>
      </c>
      <c r="O17" s="184">
        <f>Кад!C9</f>
        <v>2.85</v>
      </c>
      <c r="P17" s="184">
        <f>Кад!D9</f>
        <v>1.13225</v>
      </c>
      <c r="Q17" s="184">
        <f t="shared" si="18"/>
        <v>39.728070175438596</v>
      </c>
      <c r="R17" s="184">
        <f>Кад!C10</f>
        <v>444.22</v>
      </c>
      <c r="S17" s="184">
        <f>Кад!D10</f>
        <v>225.17728</v>
      </c>
      <c r="T17" s="184">
        <f t="shared" si="19"/>
        <v>50.690486695781367</v>
      </c>
      <c r="U17" s="184">
        <f>Кад!C11</f>
        <v>0</v>
      </c>
      <c r="V17" s="184">
        <f>Кад!D11</f>
        <v>-31.032060000000001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19.993780000000001</v>
      </c>
      <c r="AC17" s="187">
        <f t="shared" si="22"/>
        <v>7.8406980392156864</v>
      </c>
      <c r="AD17" s="195">
        <f>Кад!C16</f>
        <v>2661</v>
      </c>
      <c r="AE17" s="195">
        <f>Кад!D16</f>
        <v>437.21969999999999</v>
      </c>
      <c r="AF17" s="187">
        <f t="shared" si="4"/>
        <v>16.43065388951522</v>
      </c>
      <c r="AG17" s="187">
        <f>Кад!C18</f>
        <v>25</v>
      </c>
      <c r="AH17" s="187">
        <f>Кад!D18</f>
        <v>15.5</v>
      </c>
      <c r="AI17" s="187">
        <f t="shared" si="23"/>
        <v>62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-286.74849999999998</v>
      </c>
      <c r="AR17" s="187">
        <f t="shared" si="24"/>
        <v>-409.64071428571424</v>
      </c>
      <c r="AS17" s="188">
        <f>Кад!C28</f>
        <v>2</v>
      </c>
      <c r="AT17" s="195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7.67354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72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2700.7290000000003</v>
      </c>
      <c r="CA17" s="359">
        <f t="shared" si="35"/>
        <v>824.40200000000004</v>
      </c>
      <c r="CB17" s="187">
        <f>CA17/BZ17*100</f>
        <v>30.525165612691978</v>
      </c>
      <c r="CC17" s="187">
        <f>Кад!C41</f>
        <v>1128.914</v>
      </c>
      <c r="CD17" s="187">
        <f>Кад!D41</f>
        <v>664.91600000000005</v>
      </c>
      <c r="CE17" s="187">
        <f t="shared" si="36"/>
        <v>58.898729221180716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1190.3900000000001</v>
      </c>
      <c r="CJ17" s="187">
        <f>Кад!D43</f>
        <v>85.141999999999996</v>
      </c>
      <c r="CK17" s="187">
        <f t="shared" si="7"/>
        <v>7.1524458370786039</v>
      </c>
      <c r="CL17" s="187">
        <f>Кад!C45</f>
        <v>157.59899999999999</v>
      </c>
      <c r="CM17" s="187">
        <f>Кад!D45</f>
        <v>74.343999999999994</v>
      </c>
      <c r="CN17" s="187">
        <f t="shared" si="8"/>
        <v>47.172888152843605</v>
      </c>
      <c r="CO17" s="187"/>
      <c r="CP17" s="187"/>
      <c r="CQ17" s="187"/>
      <c r="CR17" s="187">
        <f>Кад!C47</f>
        <v>223.82599999999999</v>
      </c>
      <c r="CS17" s="187"/>
      <c r="CT17" s="187">
        <f t="shared" si="9"/>
        <v>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7409.8927000000003</v>
      </c>
      <c r="DH17" s="377">
        <f t="shared" si="39"/>
        <v>2580.2789600000001</v>
      </c>
      <c r="DI17" s="187">
        <f t="shared" si="40"/>
        <v>34.822082646351951</v>
      </c>
      <c r="DJ17" s="195">
        <f t="shared" si="41"/>
        <v>1604.3</v>
      </c>
      <c r="DK17" s="195">
        <f t="shared" si="41"/>
        <v>677.58407</v>
      </c>
      <c r="DL17" s="187">
        <f t="shared" si="42"/>
        <v>42.235496478214799</v>
      </c>
      <c r="DM17" s="187">
        <f>Кад!C57</f>
        <v>1593.7139999999999</v>
      </c>
      <c r="DN17" s="187">
        <f>Кад!D57</f>
        <v>672.47707000000003</v>
      </c>
      <c r="DO17" s="187">
        <f t="shared" si="43"/>
        <v>42.195592810253288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5.1070000000000002</v>
      </c>
      <c r="DX17" s="187">
        <f t="shared" si="46"/>
        <v>91.424991049051201</v>
      </c>
      <c r="DY17" s="187">
        <f>Кад!C64</f>
        <v>150.881</v>
      </c>
      <c r="DZ17" s="187">
        <f>Кад!D64</f>
        <v>54.826630000000002</v>
      </c>
      <c r="EA17" s="187">
        <f t="shared" si="47"/>
        <v>36.33766345663139</v>
      </c>
      <c r="EB17" s="187">
        <f>Кад!C65</f>
        <v>4.4000000000000004</v>
      </c>
      <c r="EC17" s="187">
        <f>Кад!D65</f>
        <v>0.6</v>
      </c>
      <c r="ED17" s="187">
        <f t="shared" si="48"/>
        <v>13.636363636363635</v>
      </c>
      <c r="EE17" s="195">
        <f>Кад!C70</f>
        <v>2730.2977000000001</v>
      </c>
      <c r="EF17" s="195">
        <f>Кад!D70</f>
        <v>622.69497000000001</v>
      </c>
      <c r="EG17" s="187">
        <f t="shared" si="49"/>
        <v>22.80685252747347</v>
      </c>
      <c r="EH17" s="195">
        <f>Кад!C75</f>
        <v>855.31399999999996</v>
      </c>
      <c r="EI17" s="195">
        <f>Кад!D75</f>
        <v>456.87329</v>
      </c>
      <c r="EJ17" s="187">
        <f t="shared" si="50"/>
        <v>53.415855463607521</v>
      </c>
      <c r="EK17" s="195">
        <f>Кад!C79</f>
        <v>2063.6999999999998</v>
      </c>
      <c r="EL17" s="197">
        <f>Кад!D79</f>
        <v>767.7</v>
      </c>
      <c r="EM17" s="187">
        <f t="shared" si="10"/>
        <v>37.200174443959881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-476.83369999999923</v>
      </c>
      <c r="EX17" s="191">
        <f t="shared" si="13"/>
        <v>-990.56618000000003</v>
      </c>
      <c r="EY17" s="184">
        <f>EX17/EW17*100</f>
        <v>207.73829114846572</v>
      </c>
      <c r="EZ17" s="192"/>
      <c r="FA17" s="193"/>
      <c r="FC17" s="193"/>
    </row>
    <row r="18" spans="1:170" s="235" customFormat="1" ht="15" customHeight="1">
      <c r="A18" s="226">
        <v>5</v>
      </c>
      <c r="B18" s="227" t="s">
        <v>308</v>
      </c>
      <c r="C18" s="292">
        <f t="shared" si="14"/>
        <v>9502.351999999999</v>
      </c>
      <c r="D18" s="376">
        <f t="shared" si="0"/>
        <v>4612.3032000000003</v>
      </c>
      <c r="E18" s="228">
        <f t="shared" si="1"/>
        <v>48.53854287864732</v>
      </c>
      <c r="F18" s="229">
        <f t="shared" si="2"/>
        <v>4271.0099999999993</v>
      </c>
      <c r="G18" s="229">
        <f t="shared" si="3"/>
        <v>1502.7212</v>
      </c>
      <c r="H18" s="228">
        <f t="shared" si="15"/>
        <v>35.184211696999071</v>
      </c>
      <c r="I18" s="299">
        <f>Мор!C6</f>
        <v>1624.2</v>
      </c>
      <c r="J18" s="299">
        <f>Мор!D6</f>
        <v>769.86989000000005</v>
      </c>
      <c r="K18" s="228">
        <f t="shared" si="16"/>
        <v>47.399943972417191</v>
      </c>
      <c r="L18" s="228">
        <f>Мор!C8</f>
        <v>130.59</v>
      </c>
      <c r="M18" s="228">
        <f>Мор!D8</f>
        <v>73.337209999999999</v>
      </c>
      <c r="N18" s="228">
        <f t="shared" si="17"/>
        <v>56.158365877938586</v>
      </c>
      <c r="O18" s="228">
        <f>Мор!C9</f>
        <v>1.4</v>
      </c>
      <c r="P18" s="228">
        <f>Мор!D9</f>
        <v>0.55595000000000006</v>
      </c>
      <c r="Q18" s="228">
        <f t="shared" si="18"/>
        <v>39.710714285714296</v>
      </c>
      <c r="R18" s="228">
        <f>Мор!C10</f>
        <v>218.12</v>
      </c>
      <c r="S18" s="228">
        <f>Мор!D10</f>
        <v>110.56609</v>
      </c>
      <c r="T18" s="228">
        <f t="shared" si="19"/>
        <v>50.690486887951593</v>
      </c>
      <c r="U18" s="228">
        <f>Мор!C11</f>
        <v>0</v>
      </c>
      <c r="V18" s="228">
        <f>Мор!D11</f>
        <v>-15.23724</v>
      </c>
      <c r="W18" s="228" t="e">
        <f t="shared" si="20"/>
        <v>#DIV/0!</v>
      </c>
      <c r="X18" s="188">
        <f>Мор!C13</f>
        <v>50</v>
      </c>
      <c r="Y18" s="188">
        <f>Мор!D13</f>
        <v>75.132620000000003</v>
      </c>
      <c r="Z18" s="228">
        <f t="shared" si="21"/>
        <v>150.26524000000001</v>
      </c>
      <c r="AA18" s="188">
        <f>Мор!C15</f>
        <v>550</v>
      </c>
      <c r="AB18" s="188">
        <f>Мор!D15</f>
        <v>31.30707</v>
      </c>
      <c r="AC18" s="228">
        <f t="shared" si="22"/>
        <v>5.6921945454545453</v>
      </c>
      <c r="AD18" s="188">
        <f>Мор!C16</f>
        <v>1676.7</v>
      </c>
      <c r="AE18" s="188">
        <f>Мор!D16</f>
        <v>460.34307000000001</v>
      </c>
      <c r="AF18" s="228">
        <f t="shared" si="4"/>
        <v>27.455303274288784</v>
      </c>
      <c r="AG18" s="228">
        <f>Мор!C18</f>
        <v>0</v>
      </c>
      <c r="AH18" s="228">
        <f>Мор!D18</f>
        <v>0</v>
      </c>
      <c r="AI18" s="228" t="e">
        <f t="shared" si="23"/>
        <v>#DIV/0!</v>
      </c>
      <c r="AJ18" s="228">
        <f>Мор!C22</f>
        <v>0</v>
      </c>
      <c r="AK18" s="228">
        <f>Мор!D22</f>
        <v>0</v>
      </c>
      <c r="AL18" s="228" t="e">
        <f t="shared" si="5"/>
        <v>#DIV/0!</v>
      </c>
      <c r="AM18" s="188">
        <v>0</v>
      </c>
      <c r="AN18" s="188">
        <f>Мор!D27</f>
        <v>0</v>
      </c>
      <c r="AO18" s="228" t="e">
        <f t="shared" si="6"/>
        <v>#DIV/0!</v>
      </c>
      <c r="AP18" s="188">
        <f>Мор!C27</f>
        <v>0</v>
      </c>
      <c r="AQ18" s="195">
        <f>Мор!D27</f>
        <v>0</v>
      </c>
      <c r="AR18" s="228" t="e">
        <f t="shared" si="24"/>
        <v>#DIV/0!</v>
      </c>
      <c r="AS18" s="188">
        <f>Мор!C28</f>
        <v>10</v>
      </c>
      <c r="AT18" s="188">
        <f>Мор!D26</f>
        <v>0</v>
      </c>
      <c r="AU18" s="228">
        <f t="shared" si="25"/>
        <v>0</v>
      </c>
      <c r="AV18" s="188"/>
      <c r="AW18" s="188"/>
      <c r="AX18" s="228" t="e">
        <f t="shared" si="26"/>
        <v>#DIV/0!</v>
      </c>
      <c r="AY18" s="228">
        <f>Мор!C29</f>
        <v>10</v>
      </c>
      <c r="AZ18" s="228">
        <f>Мор!D29</f>
        <v>8.3664100000000001</v>
      </c>
      <c r="BA18" s="228">
        <f t="shared" si="27"/>
        <v>83.664099999999991</v>
      </c>
      <c r="BB18" s="228"/>
      <c r="BC18" s="228"/>
      <c r="BD18" s="228"/>
      <c r="BE18" s="228">
        <f>Мор!C33</f>
        <v>0</v>
      </c>
      <c r="BF18" s="228">
        <f>Мор!D33</f>
        <v>0</v>
      </c>
      <c r="BG18" s="228" t="e">
        <f>Мор!E33</f>
        <v>#DIV/0!</v>
      </c>
      <c r="BH18" s="228">
        <f>Мор!F33</f>
        <v>0</v>
      </c>
      <c r="BI18" s="228">
        <f>Мор!G33</f>
        <v>0</v>
      </c>
      <c r="BJ18" s="228">
        <f>Мор!H33</f>
        <v>0</v>
      </c>
      <c r="BK18" s="228">
        <f>Мор!I33</f>
        <v>0</v>
      </c>
      <c r="BL18" s="228">
        <f>Мор!J33</f>
        <v>0</v>
      </c>
      <c r="BM18" s="228">
        <f>Мор!K33</f>
        <v>0</v>
      </c>
      <c r="BN18" s="228">
        <f>Мор!C35</f>
        <v>0</v>
      </c>
      <c r="BO18" s="373">
        <f>Мор!D34</f>
        <v>0</v>
      </c>
      <c r="BP18" s="228" t="e">
        <f t="shared" si="30"/>
        <v>#DIV/0!</v>
      </c>
      <c r="BQ18" s="228">
        <f>Мор!C36</f>
        <v>0</v>
      </c>
      <c r="BR18" s="228">
        <f>Мор!D36</f>
        <v>-11.519869999999999</v>
      </c>
      <c r="BS18" s="228" t="e">
        <f t="shared" si="31"/>
        <v>#DIV/0!</v>
      </c>
      <c r="BT18" s="228"/>
      <c r="BU18" s="228"/>
      <c r="BV18" s="230" t="e">
        <f t="shared" si="32"/>
        <v>#DIV/0!</v>
      </c>
      <c r="BW18" s="230"/>
      <c r="BX18" s="230"/>
      <c r="BY18" s="230" t="e">
        <f t="shared" si="33"/>
        <v>#DIV/0!</v>
      </c>
      <c r="BZ18" s="188">
        <f t="shared" si="34"/>
        <v>5231.3419999999996</v>
      </c>
      <c r="CA18" s="359">
        <f t="shared" si="35"/>
        <v>3109.5820000000003</v>
      </c>
      <c r="CB18" s="228">
        <f t="shared" ref="CB18:CB31" si="53">CA18/BZ18*100</f>
        <v>59.441382345103811</v>
      </c>
      <c r="CC18" s="228">
        <f>Мор!C41</f>
        <v>4512.616</v>
      </c>
      <c r="CD18" s="228">
        <f>Мор!D41</f>
        <v>2830.34</v>
      </c>
      <c r="CE18" s="228">
        <f t="shared" si="36"/>
        <v>62.720603747360734</v>
      </c>
      <c r="CF18" s="228">
        <f>Мор!C42</f>
        <v>0</v>
      </c>
      <c r="CG18" s="228">
        <f>Мор!D42</f>
        <v>0</v>
      </c>
      <c r="CH18" s="228" t="e">
        <f t="shared" si="37"/>
        <v>#DIV/0!</v>
      </c>
      <c r="CI18" s="228">
        <f>Мор!C43</f>
        <v>583.03</v>
      </c>
      <c r="CJ18" s="228">
        <f>Мор!D43</f>
        <v>157.24199999999999</v>
      </c>
      <c r="CK18" s="228">
        <f t="shared" si="7"/>
        <v>26.969795722347051</v>
      </c>
      <c r="CL18" s="228">
        <f>Мор!C45</f>
        <v>15.396000000000001</v>
      </c>
      <c r="CM18" s="228">
        <f>Мор!D45</f>
        <v>0</v>
      </c>
      <c r="CN18" s="228">
        <f t="shared" si="8"/>
        <v>0</v>
      </c>
      <c r="CO18" s="228">
        <f>Мор!C46</f>
        <v>0</v>
      </c>
      <c r="CP18" s="228">
        <f>Мор!D46</f>
        <v>0</v>
      </c>
      <c r="CQ18" s="228" t="e">
        <f>CP18/CO18*100</f>
        <v>#DIV/0!</v>
      </c>
      <c r="CR18" s="228">
        <f>Мор!C48</f>
        <v>120.3</v>
      </c>
      <c r="CS18" s="228">
        <f>Мор!D48</f>
        <v>122</v>
      </c>
      <c r="CT18" s="228">
        <f t="shared" si="9"/>
        <v>101.41313383208646</v>
      </c>
      <c r="CU18" s="228"/>
      <c r="CV18" s="228"/>
      <c r="CW18" s="228"/>
      <c r="CX18" s="188"/>
      <c r="CY18" s="188"/>
      <c r="CZ18" s="228" t="e">
        <f t="shared" si="38"/>
        <v>#DIV/0!</v>
      </c>
      <c r="DA18" s="228"/>
      <c r="DB18" s="228"/>
      <c r="DC18" s="228"/>
      <c r="DD18" s="228"/>
      <c r="DE18" s="228"/>
      <c r="DF18" s="228"/>
      <c r="DG18" s="188">
        <f t="shared" si="39"/>
        <v>9484.8251700000001</v>
      </c>
      <c r="DH18" s="378">
        <f t="shared" si="39"/>
        <v>4005.9593799999998</v>
      </c>
      <c r="DI18" s="228">
        <f t="shared" si="40"/>
        <v>42.235458305237266</v>
      </c>
      <c r="DJ18" s="188">
        <f t="shared" si="41"/>
        <v>1741.6179999999999</v>
      </c>
      <c r="DK18" s="188">
        <f t="shared" si="41"/>
        <v>790.02712999999994</v>
      </c>
      <c r="DL18" s="228">
        <f t="shared" si="42"/>
        <v>45.361676900445445</v>
      </c>
      <c r="DM18" s="228">
        <f>Мор!C58</f>
        <v>1709.9159999999999</v>
      </c>
      <c r="DN18" s="228">
        <f>Мор!D58</f>
        <v>778.32512999999994</v>
      </c>
      <c r="DO18" s="228">
        <f t="shared" si="43"/>
        <v>45.51832546160162</v>
      </c>
      <c r="DP18" s="228">
        <f>Мор!C61</f>
        <v>0</v>
      </c>
      <c r="DQ18" s="228">
        <f>Мор!D61</f>
        <v>0</v>
      </c>
      <c r="DR18" s="228" t="e">
        <f t="shared" si="44"/>
        <v>#DIV/0!</v>
      </c>
      <c r="DS18" s="228">
        <f>Мор!C62</f>
        <v>20</v>
      </c>
      <c r="DT18" s="228">
        <f>Мор!D62</f>
        <v>0</v>
      </c>
      <c r="DU18" s="228">
        <f t="shared" si="45"/>
        <v>0</v>
      </c>
      <c r="DV18" s="228">
        <f>Мор!C63</f>
        <v>11.702</v>
      </c>
      <c r="DW18" s="228">
        <f>Мор!D63</f>
        <v>11.702</v>
      </c>
      <c r="DX18" s="228">
        <f t="shared" si="46"/>
        <v>100</v>
      </c>
      <c r="DY18" s="228">
        <f>Мор!C64</f>
        <v>0</v>
      </c>
      <c r="DZ18" s="228">
        <f>Мор!D64</f>
        <v>0</v>
      </c>
      <c r="EA18" s="228" t="e">
        <f t="shared" si="47"/>
        <v>#DIV/0!</v>
      </c>
      <c r="EB18" s="228">
        <f>Мор!C66</f>
        <v>30</v>
      </c>
      <c r="EC18" s="228">
        <f>Мор!D66</f>
        <v>0</v>
      </c>
      <c r="ED18" s="228">
        <f t="shared" si="48"/>
        <v>0</v>
      </c>
      <c r="EE18" s="188">
        <f>Мор!C71</f>
        <v>1647.65717</v>
      </c>
      <c r="EF18" s="188">
        <f>Мор!D71</f>
        <v>482.31810999999999</v>
      </c>
      <c r="EG18" s="228">
        <f t="shared" si="49"/>
        <v>29.272965200643043</v>
      </c>
      <c r="EH18" s="188">
        <f>Мор!C76</f>
        <v>3666.25</v>
      </c>
      <c r="EI18" s="188">
        <f>Мор!D76</f>
        <v>1347.6141399999999</v>
      </c>
      <c r="EJ18" s="228">
        <f t="shared" si="50"/>
        <v>36.757289873849295</v>
      </c>
      <c r="EK18" s="188">
        <f>Мор!C80</f>
        <v>2374.3000000000002</v>
      </c>
      <c r="EL18" s="231">
        <f>Мор!D80</f>
        <v>1386</v>
      </c>
      <c r="EM18" s="228">
        <f t="shared" si="10"/>
        <v>58.375100029482375</v>
      </c>
      <c r="EN18" s="228">
        <f>Мор!C83</f>
        <v>0</v>
      </c>
      <c r="EO18" s="228">
        <f>Мор!D83</f>
        <v>0</v>
      </c>
      <c r="EP18" s="228" t="e">
        <f t="shared" si="11"/>
        <v>#DIV/0!</v>
      </c>
      <c r="EQ18" s="229">
        <f>Мор!C88</f>
        <v>25</v>
      </c>
      <c r="ER18" s="229">
        <f>Мор!D88</f>
        <v>0</v>
      </c>
      <c r="ES18" s="228">
        <f t="shared" si="51"/>
        <v>0</v>
      </c>
      <c r="ET18" s="228">
        <f>Мор!C94</f>
        <v>0</v>
      </c>
      <c r="EU18" s="228">
        <f>Мор!D94</f>
        <v>0</v>
      </c>
      <c r="EV18" s="228" t="e">
        <f t="shared" si="52"/>
        <v>#DIV/0!</v>
      </c>
      <c r="EW18" s="232">
        <f t="shared" si="12"/>
        <v>17.526829999998881</v>
      </c>
      <c r="EX18" s="232">
        <f t="shared" si="13"/>
        <v>606.34382000000051</v>
      </c>
      <c r="EY18" s="228">
        <f t="shared" ref="EY18:EY30" si="54">EX18/EW18*100</f>
        <v>3459.5178934241912</v>
      </c>
      <c r="EZ18" s="233"/>
      <c r="FA18" s="234"/>
      <c r="FC18" s="234"/>
    </row>
    <row r="19" spans="1:170" s="169" customFormat="1" ht="15" customHeight="1">
      <c r="A19" s="181">
        <v>6</v>
      </c>
      <c r="B19" s="194" t="s">
        <v>309</v>
      </c>
      <c r="C19" s="183">
        <f t="shared" si="14"/>
        <v>6535.12</v>
      </c>
      <c r="D19" s="375">
        <f t="shared" si="0"/>
        <v>2120.0853599999996</v>
      </c>
      <c r="E19" s="187">
        <f t="shared" si="1"/>
        <v>32.441414388718179</v>
      </c>
      <c r="F19" s="185">
        <f t="shared" si="2"/>
        <v>4633.7</v>
      </c>
      <c r="G19" s="185">
        <f t="shared" si="3"/>
        <v>1631.2323599999995</v>
      </c>
      <c r="H19" s="187">
        <f t="shared" si="15"/>
        <v>35.203667911172488</v>
      </c>
      <c r="I19" s="195">
        <f>Мос!C6</f>
        <v>1309.9000000000001</v>
      </c>
      <c r="J19" s="195">
        <f>Мос!D6</f>
        <v>580.54786999999999</v>
      </c>
      <c r="K19" s="187">
        <f t="shared" si="16"/>
        <v>44.320014504924039</v>
      </c>
      <c r="L19" s="187">
        <f>Мос!C8</f>
        <v>246.85</v>
      </c>
      <c r="M19" s="187">
        <f>Мос!D8</f>
        <v>138.62521000000001</v>
      </c>
      <c r="N19" s="184">
        <f t="shared" si="17"/>
        <v>56.157670650192429</v>
      </c>
      <c r="O19" s="184">
        <f>Мос!C9</f>
        <v>2.65</v>
      </c>
      <c r="P19" s="184">
        <f>Мос!D9</f>
        <v>1.0508999999999999</v>
      </c>
      <c r="Q19" s="184">
        <f t="shared" si="18"/>
        <v>39.656603773584905</v>
      </c>
      <c r="R19" s="184">
        <f>Мос!C10</f>
        <v>412.3</v>
      </c>
      <c r="S19" s="184">
        <f>Мос!D10</f>
        <v>208.99694</v>
      </c>
      <c r="T19" s="184">
        <f t="shared" si="19"/>
        <v>50.690502061605628</v>
      </c>
      <c r="U19" s="184">
        <f>Мос!C11</f>
        <v>0</v>
      </c>
      <c r="V19" s="184">
        <f>Мос!D11</f>
        <v>-28.802209999999999</v>
      </c>
      <c r="W19" s="184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6.0961499999999997</v>
      </c>
      <c r="AC19" s="187">
        <f t="shared" si="22"/>
        <v>3.2084999999999995</v>
      </c>
      <c r="AD19" s="195">
        <f>Мос!C16</f>
        <v>2450</v>
      </c>
      <c r="AE19" s="195">
        <f>Мос!D16</f>
        <v>691.17849000000001</v>
      </c>
      <c r="AF19" s="187">
        <f t="shared" si="4"/>
        <v>28.211366938775512</v>
      </c>
      <c r="AG19" s="187">
        <f>Мос!C18</f>
        <v>10</v>
      </c>
      <c r="AH19" s="187">
        <f>Мос!D18</f>
        <v>5.35</v>
      </c>
      <c r="AI19" s="187">
        <f t="shared" si="23"/>
        <v>53.499999999999993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195">
        <f>Мос!D27</f>
        <v>0</v>
      </c>
      <c r="AR19" s="187" t="e">
        <f t="shared" si="24"/>
        <v>#DIV/0!</v>
      </c>
      <c r="AS19" s="188">
        <f>Мос!C26</f>
        <v>2</v>
      </c>
      <c r="AT19" s="188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72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86">
        <f t="shared" si="34"/>
        <v>1901.42</v>
      </c>
      <c r="CA19" s="359">
        <f t="shared" si="35"/>
        <v>488.85299999999995</v>
      </c>
      <c r="CB19" s="187">
        <f t="shared" si="53"/>
        <v>25.709890502887312</v>
      </c>
      <c r="CC19" s="187">
        <f>Мос!C41</f>
        <v>35.76</v>
      </c>
      <c r="CD19" s="187">
        <f>Мос!D41</f>
        <v>4.3460000000000001</v>
      </c>
      <c r="CE19" s="187">
        <f>CD19/CC19*100</f>
        <v>12.153243847874721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4">
        <f>Мос!C43</f>
        <v>1436.52</v>
      </c>
      <c r="CJ19" s="187">
        <f>Мос!D43</f>
        <v>135.26300000000001</v>
      </c>
      <c r="CK19" s="187">
        <f t="shared" si="7"/>
        <v>9.4160192687884621</v>
      </c>
      <c r="CL19" s="187">
        <f>Мос!C45</f>
        <v>154.24</v>
      </c>
      <c r="CM19" s="187">
        <f>Мос!D45</f>
        <v>74.343999999999994</v>
      </c>
      <c r="CN19" s="187">
        <f t="shared" si="8"/>
        <v>48.200207468879661</v>
      </c>
      <c r="CO19" s="187">
        <f>Мос!C46</f>
        <v>0</v>
      </c>
      <c r="CP19" s="187">
        <f>Мос!D46</f>
        <v>0</v>
      </c>
      <c r="CQ19" s="187" t="e">
        <f>CP19/CO19*100</f>
        <v>#DIV/0!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6846.6680099999994</v>
      </c>
      <c r="DH19" s="377">
        <f t="shared" si="39"/>
        <v>2284.3706700000002</v>
      </c>
      <c r="DI19" s="187">
        <f t="shared" si="40"/>
        <v>33.3647062580445</v>
      </c>
      <c r="DJ19" s="195">
        <f t="shared" si="41"/>
        <v>1775.06</v>
      </c>
      <c r="DK19" s="195">
        <f t="shared" si="41"/>
        <v>823.64751000000001</v>
      </c>
      <c r="DL19" s="187">
        <f t="shared" si="42"/>
        <v>46.401108131556121</v>
      </c>
      <c r="DM19" s="187">
        <f>Мос!C58</f>
        <v>1764.577</v>
      </c>
      <c r="DN19" s="187">
        <f>Мос!D58</f>
        <v>818.84905000000003</v>
      </c>
      <c r="DO19" s="187">
        <f t="shared" si="43"/>
        <v>46.404835266468965</v>
      </c>
      <c r="DP19" s="187">
        <f>Мос!C61</f>
        <v>0</v>
      </c>
      <c r="DQ19" s="187">
        <f>Мос!D61</f>
        <v>0</v>
      </c>
      <c r="DR19" s="187" t="e">
        <f t="shared" si="44"/>
        <v>#DIV/0!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5.4829999999999997</v>
      </c>
      <c r="DW19" s="187">
        <f>Мос!D63</f>
        <v>4.7984600000000004</v>
      </c>
      <c r="DX19" s="187">
        <f t="shared" si="46"/>
        <v>87.515228889294193</v>
      </c>
      <c r="DY19" s="187">
        <f>Мос!C65</f>
        <v>150.881</v>
      </c>
      <c r="DZ19" s="187">
        <f>Мос!D65</f>
        <v>68.358230000000006</v>
      </c>
      <c r="EA19" s="187">
        <f t="shared" si="47"/>
        <v>45.306055765802192</v>
      </c>
      <c r="EB19" s="187">
        <f>Мос!C66</f>
        <v>15</v>
      </c>
      <c r="EC19" s="187">
        <f>Мос!D66</f>
        <v>1.2</v>
      </c>
      <c r="ED19" s="187">
        <f t="shared" si="48"/>
        <v>8</v>
      </c>
      <c r="EE19" s="195">
        <f>Мос!C71</f>
        <v>2830.6750099999999</v>
      </c>
      <c r="EF19" s="195">
        <f>Мос!D71</f>
        <v>628.04644000000008</v>
      </c>
      <c r="EG19" s="187">
        <f t="shared" si="49"/>
        <v>22.18716164099672</v>
      </c>
      <c r="EH19" s="195">
        <f>Мос!C76</f>
        <v>944.15</v>
      </c>
      <c r="EI19" s="195">
        <f>Мос!D76</f>
        <v>381.21848999999997</v>
      </c>
      <c r="EJ19" s="187">
        <f t="shared" si="50"/>
        <v>40.376898797860505</v>
      </c>
      <c r="EK19" s="195">
        <f>Мос!C81</f>
        <v>1107.5999999999999</v>
      </c>
      <c r="EL19" s="197">
        <f>Мос!D81</f>
        <v>371.9</v>
      </c>
      <c r="EM19" s="187">
        <f t="shared" si="10"/>
        <v>33.577103647526187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23.302</v>
      </c>
      <c r="ER19" s="198">
        <f>Мос!D91</f>
        <v>10</v>
      </c>
      <c r="ES19" s="187">
        <f t="shared" si="51"/>
        <v>42.914771264269163</v>
      </c>
      <c r="ET19" s="187">
        <f>Мос!C97</f>
        <v>0</v>
      </c>
      <c r="EU19" s="187">
        <f>Мос!D97</f>
        <v>0</v>
      </c>
      <c r="EV19" s="184" t="e">
        <f t="shared" si="52"/>
        <v>#DIV/0!</v>
      </c>
      <c r="EW19" s="191">
        <f t="shared" si="12"/>
        <v>-311.54800999999952</v>
      </c>
      <c r="EX19" s="191">
        <f t="shared" si="13"/>
        <v>-164.28531000000066</v>
      </c>
      <c r="EY19" s="184">
        <f t="shared" si="54"/>
        <v>52.731940094883271</v>
      </c>
      <c r="EZ19" s="192"/>
      <c r="FA19" s="193"/>
      <c r="FC19" s="193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5892.8639999999996</v>
      </c>
      <c r="D20" s="375">
        <f t="shared" si="0"/>
        <v>2095.88861</v>
      </c>
      <c r="E20" s="187">
        <f t="shared" si="1"/>
        <v>35.566553207404752</v>
      </c>
      <c r="F20" s="185">
        <f t="shared" si="2"/>
        <v>2702.3</v>
      </c>
      <c r="G20" s="185">
        <f t="shared" si="3"/>
        <v>546.14825999999982</v>
      </c>
      <c r="H20" s="187">
        <f t="shared" si="15"/>
        <v>20.210496984050614</v>
      </c>
      <c r="I20" s="298">
        <f>Ори!C6</f>
        <v>262.3</v>
      </c>
      <c r="J20" s="298">
        <f>Ори!D6</f>
        <v>102.97087000000001</v>
      </c>
      <c r="K20" s="187">
        <f t="shared" si="16"/>
        <v>39.256908120472737</v>
      </c>
      <c r="L20" s="187">
        <f>Ори!C8</f>
        <v>157.66999999999999</v>
      </c>
      <c r="M20" s="187">
        <f>Ори!D8</f>
        <v>88.541259999999994</v>
      </c>
      <c r="N20" s="184">
        <f t="shared" si="17"/>
        <v>56.156060125578747</v>
      </c>
      <c r="O20" s="184">
        <f>Ори!C9</f>
        <v>1.7</v>
      </c>
      <c r="P20" s="184">
        <f>Ори!D9</f>
        <v>0.67122000000000004</v>
      </c>
      <c r="Q20" s="184">
        <f t="shared" si="18"/>
        <v>39.483529411764714</v>
      </c>
      <c r="R20" s="184">
        <f>Ори!C10</f>
        <v>263.33</v>
      </c>
      <c r="S20" s="184">
        <f>Ори!D10</f>
        <v>133.48831999999999</v>
      </c>
      <c r="T20" s="184">
        <f t="shared" si="19"/>
        <v>50.69240876466791</v>
      </c>
      <c r="U20" s="184">
        <f>Ори!C11</f>
        <v>0</v>
      </c>
      <c r="V20" s="184">
        <f>Ори!D11</f>
        <v>-18.396249999999998</v>
      </c>
      <c r="W20" s="184" t="e">
        <f t="shared" si="20"/>
        <v>#DIV/0!</v>
      </c>
      <c r="X20" s="195">
        <f>Ори!C13</f>
        <v>40</v>
      </c>
      <c r="Y20" s="195">
        <f>Ори!D13</f>
        <v>35.71604</v>
      </c>
      <c r="Z20" s="187">
        <f t="shared" si="21"/>
        <v>89.290099999999995</v>
      </c>
      <c r="AA20" s="195">
        <f>Ори!C15</f>
        <v>160</v>
      </c>
      <c r="AB20" s="195">
        <f>Ори!D15</f>
        <v>7.8320999999999996</v>
      </c>
      <c r="AC20" s="187">
        <f t="shared" si="22"/>
        <v>4.8950624999999999</v>
      </c>
      <c r="AD20" s="195">
        <f>Ори!C16</f>
        <v>1620</v>
      </c>
      <c r="AE20" s="195">
        <f>Ори!D16</f>
        <v>136.66795999999999</v>
      </c>
      <c r="AF20" s="187">
        <f t="shared" si="4"/>
        <v>8.4362938271604939</v>
      </c>
      <c r="AG20" s="187">
        <f>Ори!C18</f>
        <v>10</v>
      </c>
      <c r="AH20" s="187">
        <f>Ори!D18</f>
        <v>2.77</v>
      </c>
      <c r="AI20" s="187">
        <f t="shared" si="23"/>
        <v>27.700000000000003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28.988520000000001</v>
      </c>
      <c r="AR20" s="187">
        <f t="shared" si="24"/>
        <v>27.016328052190126</v>
      </c>
      <c r="AS20" s="188">
        <f>Ори!C28</f>
        <v>30</v>
      </c>
      <c r="AT20" s="195">
        <f>Ори!D28</f>
        <v>27</v>
      </c>
      <c r="AU20" s="187">
        <f t="shared" si="25"/>
        <v>90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0</v>
      </c>
      <c r="BA20" s="187">
        <f t="shared" si="27"/>
        <v>0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72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-0.10178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3190.5639999999999</v>
      </c>
      <c r="CA20" s="359">
        <f t="shared" si="35"/>
        <v>1549.74035</v>
      </c>
      <c r="CB20" s="187">
        <f t="shared" si="53"/>
        <v>48.572614434313181</v>
      </c>
      <c r="CC20" s="187">
        <f>Ори!C41</f>
        <v>1357.7539999999999</v>
      </c>
      <c r="CD20" s="187">
        <f>Ори!D41</f>
        <v>826.21400000000006</v>
      </c>
      <c r="CE20" s="187">
        <f t="shared" si="36"/>
        <v>60.851523913757575</v>
      </c>
      <c r="CF20" s="187">
        <f>Ори!C42</f>
        <v>320</v>
      </c>
      <c r="CG20" s="187">
        <f>Ори!D42</f>
        <v>160</v>
      </c>
      <c r="CH20" s="187">
        <f t="shared" si="37"/>
        <v>50</v>
      </c>
      <c r="CI20" s="187">
        <f>Ори!C43</f>
        <v>1047.69</v>
      </c>
      <c r="CJ20" s="187">
        <f>Ори!D43</f>
        <v>180</v>
      </c>
      <c r="CK20" s="187">
        <f t="shared" si="7"/>
        <v>17.18065458293961</v>
      </c>
      <c r="CL20" s="187">
        <f>Ори!C45</f>
        <v>155.91999999999999</v>
      </c>
      <c r="CM20" s="187">
        <f>Ори!D45</f>
        <v>74.343999999999994</v>
      </c>
      <c r="CN20" s="187">
        <f t="shared" si="8"/>
        <v>47.680861980502819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6004.5975099999996</v>
      </c>
      <c r="DH20" s="377">
        <f t="shared" si="39"/>
        <v>1928.2189800000001</v>
      </c>
      <c r="DI20" s="187">
        <f t="shared" si="40"/>
        <v>32.112376837727467</v>
      </c>
      <c r="DJ20" s="195">
        <f t="shared" si="41"/>
        <v>1322.2574999999999</v>
      </c>
      <c r="DK20" s="195">
        <f t="shared" si="41"/>
        <v>521.6489600000001</v>
      </c>
      <c r="DL20" s="187">
        <f t="shared" si="42"/>
        <v>39.451389763340359</v>
      </c>
      <c r="DM20" s="187">
        <f>Ори!C58</f>
        <v>1313.154</v>
      </c>
      <c r="DN20" s="187">
        <f>Ори!D58</f>
        <v>517.54546000000005</v>
      </c>
      <c r="DO20" s="187">
        <f t="shared" si="43"/>
        <v>39.412396413520426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4.1035000000000004</v>
      </c>
      <c r="DW20" s="187">
        <f>Ори!D63</f>
        <v>4.1035000000000004</v>
      </c>
      <c r="DX20" s="187">
        <f t="shared" si="46"/>
        <v>100</v>
      </c>
      <c r="DY20" s="187">
        <f>Ори!C65</f>
        <v>150.881</v>
      </c>
      <c r="DZ20" s="187">
        <f>Ори!D65</f>
        <v>54.724780000000003</v>
      </c>
      <c r="EA20" s="187">
        <f t="shared" si="47"/>
        <v>36.270159927359977</v>
      </c>
      <c r="EB20" s="187">
        <f>Ори!C66</f>
        <v>8.6155000000000008</v>
      </c>
      <c r="EC20" s="187">
        <f>Ори!D66</f>
        <v>3.5</v>
      </c>
      <c r="ED20" s="187">
        <f t="shared" si="48"/>
        <v>40.624455922465316</v>
      </c>
      <c r="EE20" s="195">
        <f>Ори!C71</f>
        <v>2156.68451</v>
      </c>
      <c r="EF20" s="195">
        <f>Ори!D71</f>
        <v>345.26599999999996</v>
      </c>
      <c r="EG20" s="187">
        <f t="shared" si="49"/>
        <v>16.009110205924369</v>
      </c>
      <c r="EH20" s="195">
        <f>Ори!C76</f>
        <v>830.15899999999999</v>
      </c>
      <c r="EI20" s="195">
        <f>Ори!D76</f>
        <v>507.09224</v>
      </c>
      <c r="EJ20" s="187">
        <f t="shared" si="50"/>
        <v>61.083749016754616</v>
      </c>
      <c r="EK20" s="195">
        <f>Ори!C81</f>
        <v>1534</v>
      </c>
      <c r="EL20" s="197">
        <f>Ори!D81</f>
        <v>495.98700000000002</v>
      </c>
      <c r="EM20" s="187">
        <f t="shared" si="10"/>
        <v>32.332920469361149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167.66962999999987</v>
      </c>
      <c r="EY20" s="184">
        <f t="shared" si="54"/>
        <v>-150.06208074909654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6439.1610000000001</v>
      </c>
      <c r="D21" s="375">
        <f t="shared" si="0"/>
        <v>2503.5574100000003</v>
      </c>
      <c r="E21" s="187">
        <f t="shared" si="1"/>
        <v>38.880180352688811</v>
      </c>
      <c r="F21" s="185">
        <f t="shared" si="2"/>
        <v>1904.9999999999998</v>
      </c>
      <c r="G21" s="185">
        <f t="shared" si="3"/>
        <v>467.17534000000006</v>
      </c>
      <c r="H21" s="187">
        <f t="shared" si="15"/>
        <v>24.52363989501313</v>
      </c>
      <c r="I21" s="195">
        <f>Сят!C6</f>
        <v>108.1</v>
      </c>
      <c r="J21" s="195">
        <f>Сят!D6</f>
        <v>60.618810000000003</v>
      </c>
      <c r="K21" s="187">
        <f t="shared" si="16"/>
        <v>56.076604995374659</v>
      </c>
      <c r="L21" s="187">
        <f>Сят!C8</f>
        <v>194.3</v>
      </c>
      <c r="M21" s="187">
        <f>Сят!D8</f>
        <v>109.11145999999999</v>
      </c>
      <c r="N21" s="184">
        <f t="shared" si="17"/>
        <v>56.156181163149768</v>
      </c>
      <c r="O21" s="184">
        <f>Сят!C9</f>
        <v>2.1</v>
      </c>
      <c r="P21" s="184">
        <f>Сят!D9</f>
        <v>0.82716000000000001</v>
      </c>
      <c r="Q21" s="184">
        <f t="shared" si="18"/>
        <v>39.388571428571431</v>
      </c>
      <c r="R21" s="184">
        <f>Сят!C10</f>
        <v>324.5</v>
      </c>
      <c r="S21" s="184">
        <f>Сят!D10</f>
        <v>164.50076000000001</v>
      </c>
      <c r="T21" s="184">
        <f t="shared" si="19"/>
        <v>50.693608628659483</v>
      </c>
      <c r="U21" s="184">
        <f>Сят!C11</f>
        <v>0</v>
      </c>
      <c r="V21" s="184">
        <f>Сят!D11</f>
        <v>-22.670120000000001</v>
      </c>
      <c r="W21" s="184" t="e">
        <f t="shared" si="20"/>
        <v>#DIV/0!</v>
      </c>
      <c r="X21" s="195">
        <f>Сят!C13</f>
        <v>40</v>
      </c>
      <c r="Y21" s="195">
        <f>Сят!D13</f>
        <v>28.719439999999999</v>
      </c>
      <c r="Z21" s="187">
        <f t="shared" si="21"/>
        <v>71.798600000000008</v>
      </c>
      <c r="AA21" s="195">
        <f>Сят!C15</f>
        <v>130</v>
      </c>
      <c r="AB21" s="195">
        <f>Сят!D15</f>
        <v>7.0553800000000004</v>
      </c>
      <c r="AC21" s="187">
        <f t="shared" si="22"/>
        <v>5.4272153846153852</v>
      </c>
      <c r="AD21" s="195">
        <f>Сят!C16</f>
        <v>930</v>
      </c>
      <c r="AE21" s="195">
        <f>Сят!D16</f>
        <v>207.40128000000001</v>
      </c>
      <c r="AF21" s="187">
        <f t="shared" si="4"/>
        <v>22.30121290322581</v>
      </c>
      <c r="AG21" s="187">
        <f>Сят!C18</f>
        <v>10</v>
      </c>
      <c r="AH21" s="187">
        <f>Сят!D18</f>
        <v>2.375</v>
      </c>
      <c r="AI21" s="187">
        <f t="shared" si="23"/>
        <v>23.75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0</v>
      </c>
      <c r="AR21" s="187">
        <f t="shared" si="24"/>
        <v>0</v>
      </c>
      <c r="AS21" s="188">
        <f>Сят!C28</f>
        <v>6</v>
      </c>
      <c r="AT21" s="195">
        <f>Сят!D28</f>
        <v>3.3868800000000001</v>
      </c>
      <c r="AU21" s="187">
        <f t="shared" si="25"/>
        <v>56.448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0.84928999999999999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372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4534.1610000000001</v>
      </c>
      <c r="CA21" s="359">
        <f t="shared" si="35"/>
        <v>2036.3820700000001</v>
      </c>
      <c r="CB21" s="187">
        <f t="shared" si="53"/>
        <v>44.911992979517052</v>
      </c>
      <c r="CC21" s="187">
        <f>Сят!C41</f>
        <v>2768.8539999999998</v>
      </c>
      <c r="CD21" s="187">
        <f>Сят!D41</f>
        <v>1654.77</v>
      </c>
      <c r="CE21" s="187">
        <f t="shared" si="36"/>
        <v>59.763714518714238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1320.704</v>
      </c>
      <c r="CJ21" s="187">
        <f>Сят!D43</f>
        <v>99.974999999999994</v>
      </c>
      <c r="CK21" s="187">
        <f t="shared" si="7"/>
        <v>7.5698263956193053</v>
      </c>
      <c r="CL21" s="187">
        <f>Сят!C44</f>
        <v>157.59899999999999</v>
      </c>
      <c r="CM21" s="187">
        <f>Сят!D44</f>
        <v>74.343999999999994</v>
      </c>
      <c r="CN21" s="187">
        <f t="shared" si="8"/>
        <v>47.172888152843605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-79.711500000000001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6869.0310200000004</v>
      </c>
      <c r="DH21" s="377">
        <f t="shared" si="39"/>
        <v>2866.1553800000002</v>
      </c>
      <c r="DI21" s="187">
        <f t="shared" si="40"/>
        <v>41.725759741874043</v>
      </c>
      <c r="DJ21" s="195">
        <f t="shared" si="41"/>
        <v>1442.627</v>
      </c>
      <c r="DK21" s="195">
        <f>Сят!D56</f>
        <v>617.83598000000006</v>
      </c>
      <c r="DL21" s="187">
        <f t="shared" si="42"/>
        <v>42.827146587440836</v>
      </c>
      <c r="DM21" s="187">
        <f>Сят!C58</f>
        <v>1410.7539999999999</v>
      </c>
      <c r="DN21" s="187">
        <f>Сят!D58</f>
        <v>605.97298000000001</v>
      </c>
      <c r="DO21" s="187">
        <f t="shared" si="43"/>
        <v>42.953837451462128</v>
      </c>
      <c r="DP21" s="187">
        <f>Сят!C61</f>
        <v>0</v>
      </c>
      <c r="DQ21" s="187">
        <f>Сят!D61</f>
        <v>0</v>
      </c>
      <c r="DR21" s="187" t="e">
        <f t="shared" si="44"/>
        <v>#DIV/0!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11.863</v>
      </c>
      <c r="DW21" s="187">
        <f>Сят!D63</f>
        <v>11.863</v>
      </c>
      <c r="DX21" s="187">
        <f t="shared" si="46"/>
        <v>100</v>
      </c>
      <c r="DY21" s="187">
        <f>Сят!C65</f>
        <v>150.881</v>
      </c>
      <c r="DZ21" s="187">
        <f>Сят!D65</f>
        <v>67.252939999999995</v>
      </c>
      <c r="EA21" s="187">
        <f t="shared" si="47"/>
        <v>44.573498319867973</v>
      </c>
      <c r="EB21" s="187">
        <f>Сят!C66</f>
        <v>10</v>
      </c>
      <c r="EC21" s="187">
        <f>Сят!D66</f>
        <v>0</v>
      </c>
      <c r="ED21" s="187">
        <f t="shared" si="48"/>
        <v>0</v>
      </c>
      <c r="EE21" s="195">
        <f>Сят!C71</f>
        <v>2319.4320200000002</v>
      </c>
      <c r="EF21" s="195">
        <f>Сят!D71</f>
        <v>504.60867999999999</v>
      </c>
      <c r="EG21" s="187">
        <f t="shared" si="49"/>
        <v>21.75570034598384</v>
      </c>
      <c r="EH21" s="195">
        <f>Сят!C76</f>
        <v>809.24099999999999</v>
      </c>
      <c r="EI21" s="195">
        <f>Сят!D76</f>
        <v>184.60486</v>
      </c>
      <c r="EJ21" s="187">
        <f t="shared" si="50"/>
        <v>22.812099238669322</v>
      </c>
      <c r="EK21" s="195">
        <f>Сят!C80</f>
        <v>2099.85</v>
      </c>
      <c r="EL21" s="197">
        <f>Сят!D80</f>
        <v>1467.9379200000001</v>
      </c>
      <c r="EM21" s="187">
        <f t="shared" si="10"/>
        <v>69.906799057075503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23.914999999999999</v>
      </c>
      <c r="ES21" s="187">
        <f t="shared" si="51"/>
        <v>64.63513513513513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-429.8700200000003</v>
      </c>
      <c r="EX21" s="191">
        <f t="shared" si="13"/>
        <v>-362.5979699999998</v>
      </c>
      <c r="EY21" s="184">
        <f t="shared" si="54"/>
        <v>84.350606725260718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5" customFormat="1" ht="15" customHeight="1">
      <c r="A22" s="226">
        <v>9</v>
      </c>
      <c r="B22" s="227" t="s">
        <v>312</v>
      </c>
      <c r="C22" s="292">
        <f>F22+BZ22</f>
        <v>4808.7820000000002</v>
      </c>
      <c r="D22" s="376">
        <f t="shared" si="0"/>
        <v>2039.2473299999997</v>
      </c>
      <c r="E22" s="228">
        <f t="shared" si="1"/>
        <v>42.406732723587794</v>
      </c>
      <c r="F22" s="229">
        <f>I22+X22+AA22+AD22+AG22+AM22+AS22+BE22+BQ22+BN22+AJ22+AY22+L22+R22+O22+U22+AP22</f>
        <v>1863.5</v>
      </c>
      <c r="G22" s="229">
        <f t="shared" si="3"/>
        <v>782.47372999999993</v>
      </c>
      <c r="H22" s="228">
        <f t="shared" si="15"/>
        <v>41.989467668365975</v>
      </c>
      <c r="I22" s="188">
        <f>Тор!C6</f>
        <v>104.8</v>
      </c>
      <c r="J22" s="188">
        <f>Тор!D6</f>
        <v>46.536810000000003</v>
      </c>
      <c r="K22" s="228">
        <f t="shared" si="16"/>
        <v>44.405353053435121</v>
      </c>
      <c r="L22" s="228">
        <f>Тор!C8</f>
        <v>269.94</v>
      </c>
      <c r="M22" s="228">
        <f>Тор!D8</f>
        <v>151.59338</v>
      </c>
      <c r="N22" s="228">
        <f t="shared" si="17"/>
        <v>56.158175890938722</v>
      </c>
      <c r="O22" s="228">
        <f>Тор!C9</f>
        <v>2.9</v>
      </c>
      <c r="P22" s="228">
        <f>Тор!D9</f>
        <v>1.14924</v>
      </c>
      <c r="Q22" s="228">
        <f t="shared" si="18"/>
        <v>39.628965517241383</v>
      </c>
      <c r="R22" s="228">
        <f>Тор!C10</f>
        <v>450.86</v>
      </c>
      <c r="S22" s="228">
        <f>Тор!D10</f>
        <v>228.54821000000001</v>
      </c>
      <c r="T22" s="228">
        <f t="shared" si="19"/>
        <v>50.691613804728739</v>
      </c>
      <c r="U22" s="228">
        <f>Тор!C11</f>
        <v>0</v>
      </c>
      <c r="V22" s="228">
        <f>Тор!D11</f>
        <v>-31.49661</v>
      </c>
      <c r="W22" s="228" t="e">
        <f t="shared" si="20"/>
        <v>#DIV/0!</v>
      </c>
      <c r="X22" s="188">
        <f>Тор!C13</f>
        <v>15</v>
      </c>
      <c r="Y22" s="188">
        <f>Тор!D13</f>
        <v>26.019300000000001</v>
      </c>
      <c r="Z22" s="228">
        <f t="shared" si="21"/>
        <v>173.46200000000002</v>
      </c>
      <c r="AA22" s="188">
        <f>Тор!C15</f>
        <v>160</v>
      </c>
      <c r="AB22" s="188">
        <f>Тор!D15</f>
        <v>9.4748000000000001</v>
      </c>
      <c r="AC22" s="228">
        <f t="shared" si="22"/>
        <v>5.9217500000000003</v>
      </c>
      <c r="AD22" s="188">
        <f>Тор!C16</f>
        <v>470</v>
      </c>
      <c r="AE22" s="188">
        <f>Тор!D16</f>
        <v>74.951499999999996</v>
      </c>
      <c r="AF22" s="228">
        <f t="shared" si="4"/>
        <v>15.947127659574466</v>
      </c>
      <c r="AG22" s="228">
        <f>Тор!C18</f>
        <v>10</v>
      </c>
      <c r="AH22" s="228">
        <f>Тор!D18</f>
        <v>3.5</v>
      </c>
      <c r="AI22" s="228">
        <f t="shared" si="23"/>
        <v>35</v>
      </c>
      <c r="AJ22" s="228"/>
      <c r="AK22" s="228">
        <f>Тор!D20</f>
        <v>0</v>
      </c>
      <c r="AL22" s="228" t="e">
        <f t="shared" si="5"/>
        <v>#DIV/0!</v>
      </c>
      <c r="AM22" s="188">
        <v>0</v>
      </c>
      <c r="AN22" s="188">
        <v>0</v>
      </c>
      <c r="AO22" s="228" t="e">
        <f t="shared" si="6"/>
        <v>#DIV/0!</v>
      </c>
      <c r="AP22" s="188">
        <f>Тор!C27</f>
        <v>300</v>
      </c>
      <c r="AQ22" s="188">
        <f>Тор!D27</f>
        <v>206.1</v>
      </c>
      <c r="AR22" s="228">
        <f t="shared" si="24"/>
        <v>68.699999999999989</v>
      </c>
      <c r="AS22" s="188">
        <f>Тор!C28</f>
        <v>30</v>
      </c>
      <c r="AT22" s="188">
        <f>Тор!D28</f>
        <v>38.51952</v>
      </c>
      <c r="AU22" s="228">
        <f t="shared" si="25"/>
        <v>128.39840000000001</v>
      </c>
      <c r="AV22" s="188"/>
      <c r="AW22" s="188"/>
      <c r="AX22" s="228" t="e">
        <f t="shared" si="26"/>
        <v>#DIV/0!</v>
      </c>
      <c r="AY22" s="228">
        <f>Тор!C29</f>
        <v>50</v>
      </c>
      <c r="AZ22" s="228">
        <f>Тор!D29</f>
        <v>27.83521</v>
      </c>
      <c r="BA22" s="228">
        <f t="shared" si="27"/>
        <v>55.67042</v>
      </c>
      <c r="BB22" s="228"/>
      <c r="BC22" s="228"/>
      <c r="BD22" s="228"/>
      <c r="BE22" s="228">
        <f>Тор!C34+Тор!C33</f>
        <v>0</v>
      </c>
      <c r="BF22" s="228">
        <f>Тор!D32</f>
        <v>0</v>
      </c>
      <c r="BG22" s="228" t="e">
        <f t="shared" si="28"/>
        <v>#DIV/0!</v>
      </c>
      <c r="BH22" s="228"/>
      <c r="BI22" s="228"/>
      <c r="BJ22" s="228" t="e">
        <f t="shared" si="29"/>
        <v>#DIV/0!</v>
      </c>
      <c r="BK22" s="228"/>
      <c r="BL22" s="228"/>
      <c r="BM22" s="228"/>
      <c r="BN22" s="228"/>
      <c r="BO22" s="373">
        <f>Тор!D35</f>
        <v>0</v>
      </c>
      <c r="BP22" s="228" t="e">
        <f t="shared" si="30"/>
        <v>#DIV/0!</v>
      </c>
      <c r="BQ22" s="228">
        <f>Тор!C37</f>
        <v>0</v>
      </c>
      <c r="BR22" s="228">
        <f>Тор!D37</f>
        <v>-0.25763000000000003</v>
      </c>
      <c r="BS22" s="228" t="e">
        <f t="shared" si="31"/>
        <v>#DIV/0!</v>
      </c>
      <c r="BT22" s="228"/>
      <c r="BU22" s="228"/>
      <c r="BV22" s="230" t="e">
        <f t="shared" si="32"/>
        <v>#DIV/0!</v>
      </c>
      <c r="BW22" s="230"/>
      <c r="BX22" s="230"/>
      <c r="BY22" s="230" t="e">
        <f t="shared" si="33"/>
        <v>#DIV/0!</v>
      </c>
      <c r="BZ22" s="188">
        <f t="shared" si="34"/>
        <v>2945.2820000000002</v>
      </c>
      <c r="CA22" s="359">
        <f t="shared" si="35"/>
        <v>1256.7735999999998</v>
      </c>
      <c r="CB22" s="228">
        <f t="shared" si="53"/>
        <v>42.670739168609309</v>
      </c>
      <c r="CC22" s="228">
        <f>Тор!C42</f>
        <v>1351.8630000000001</v>
      </c>
      <c r="CD22" s="228">
        <f>Тор!D42</f>
        <v>845.67499999999995</v>
      </c>
      <c r="CE22" s="228">
        <f t="shared" si="36"/>
        <v>62.556264946965776</v>
      </c>
      <c r="CF22" s="228">
        <f>Тор!C43</f>
        <v>584</v>
      </c>
      <c r="CG22" s="228">
        <f>Тор!D43</f>
        <v>227</v>
      </c>
      <c r="CH22" s="228">
        <f t="shared" si="37"/>
        <v>38.869863013698627</v>
      </c>
      <c r="CI22" s="228">
        <f>Тор!C44</f>
        <v>802.58</v>
      </c>
      <c r="CJ22" s="228">
        <f>Тор!D44</f>
        <v>79.504000000000005</v>
      </c>
      <c r="CK22" s="228">
        <f t="shared" si="7"/>
        <v>9.9060529791422667</v>
      </c>
      <c r="CL22" s="228">
        <f>Тор!C45</f>
        <v>154.239</v>
      </c>
      <c r="CM22" s="228">
        <f>Тор!D45</f>
        <v>74.343999999999994</v>
      </c>
      <c r="CN22" s="228">
        <f t="shared" si="8"/>
        <v>48.200519972250852</v>
      </c>
      <c r="CO22" s="228">
        <f>Тор!C46</f>
        <v>0</v>
      </c>
      <c r="CP22" s="228">
        <f>Тор!D46</f>
        <v>0</v>
      </c>
      <c r="CQ22" s="228"/>
      <c r="CR22" s="228">
        <f>Тор!C48</f>
        <v>52.6</v>
      </c>
      <c r="CS22" s="228">
        <f>Тор!D48</f>
        <v>52.6</v>
      </c>
      <c r="CT22" s="228">
        <f t="shared" si="9"/>
        <v>100</v>
      </c>
      <c r="CU22" s="228"/>
      <c r="CV22" s="228">
        <f>Тор!D49</f>
        <v>-22.349399999999999</v>
      </c>
      <c r="CW22" s="228"/>
      <c r="CX22" s="188"/>
      <c r="CY22" s="188"/>
      <c r="CZ22" s="228" t="e">
        <f t="shared" si="38"/>
        <v>#DIV/0!</v>
      </c>
      <c r="DA22" s="228"/>
      <c r="DB22" s="228"/>
      <c r="DC22" s="228"/>
      <c r="DD22" s="228"/>
      <c r="DE22" s="228"/>
      <c r="DF22" s="228"/>
      <c r="DG22" s="188">
        <f t="shared" si="39"/>
        <v>5099.2582300000004</v>
      </c>
      <c r="DH22" s="378">
        <f t="shared" si="39"/>
        <v>2045.52846</v>
      </c>
      <c r="DI22" s="228">
        <f t="shared" si="40"/>
        <v>40.114235595399528</v>
      </c>
      <c r="DJ22" s="188">
        <f t="shared" si="41"/>
        <v>1105.9110000000001</v>
      </c>
      <c r="DK22" s="188">
        <f t="shared" si="41"/>
        <v>472.46456000000001</v>
      </c>
      <c r="DL22" s="228">
        <f t="shared" si="42"/>
        <v>42.721752473752403</v>
      </c>
      <c r="DM22" s="228">
        <f>Тор!C58</f>
        <v>1096.463</v>
      </c>
      <c r="DN22" s="228">
        <f>Тор!D58</f>
        <v>468.96856000000002</v>
      </c>
      <c r="DO22" s="228">
        <f t="shared" si="43"/>
        <v>42.771033769493364</v>
      </c>
      <c r="DP22" s="228">
        <f>Тор!C61</f>
        <v>0</v>
      </c>
      <c r="DQ22" s="228">
        <f>Тор!D61</f>
        <v>0</v>
      </c>
      <c r="DR22" s="228" t="e">
        <f t="shared" si="44"/>
        <v>#DIV/0!</v>
      </c>
      <c r="DS22" s="228">
        <f>Тор!C62</f>
        <v>5</v>
      </c>
      <c r="DT22" s="228">
        <f>Тор!D62</f>
        <v>0</v>
      </c>
      <c r="DU22" s="228">
        <f t="shared" si="45"/>
        <v>0</v>
      </c>
      <c r="DV22" s="228">
        <f>Тор!C63</f>
        <v>4.4480000000000004</v>
      </c>
      <c r="DW22" s="228">
        <f>Тор!D63</f>
        <v>3.496</v>
      </c>
      <c r="DX22" s="228">
        <f t="shared" si="46"/>
        <v>78.597122302158269</v>
      </c>
      <c r="DY22" s="228">
        <f>Тор!C65</f>
        <v>150.88</v>
      </c>
      <c r="DZ22" s="228">
        <f>+Тор!D64</f>
        <v>67.228449999999995</v>
      </c>
      <c r="EA22" s="228">
        <f t="shared" si="47"/>
        <v>44.557562301166485</v>
      </c>
      <c r="EB22" s="228">
        <f>Тор!C66</f>
        <v>7</v>
      </c>
      <c r="EC22" s="228">
        <f>Тор!D66</f>
        <v>0</v>
      </c>
      <c r="ED22" s="228">
        <f t="shared" si="48"/>
        <v>0</v>
      </c>
      <c r="EE22" s="188">
        <f>Тор!C71</f>
        <v>2259.2762300000004</v>
      </c>
      <c r="EF22" s="188">
        <f>Тор!D71</f>
        <v>654.38562999999999</v>
      </c>
      <c r="EG22" s="228">
        <f t="shared" si="49"/>
        <v>28.96439228239036</v>
      </c>
      <c r="EH22" s="188">
        <f>Тор!C77</f>
        <v>344.59100000000001</v>
      </c>
      <c r="EI22" s="188">
        <f>Тор!D77</f>
        <v>166.15482</v>
      </c>
      <c r="EJ22" s="228">
        <f t="shared" si="50"/>
        <v>48.217980156185156</v>
      </c>
      <c r="EK22" s="188">
        <f>Тор!C81</f>
        <v>1221.5999999999999</v>
      </c>
      <c r="EL22" s="231">
        <f>Тор!D81</f>
        <v>685.29499999999996</v>
      </c>
      <c r="EM22" s="228">
        <f t="shared" si="10"/>
        <v>56.098149967256063</v>
      </c>
      <c r="EN22" s="228">
        <f>Тор!C83</f>
        <v>0</v>
      </c>
      <c r="EO22" s="228">
        <f>Тор!D83</f>
        <v>0</v>
      </c>
      <c r="EP22" s="228" t="e">
        <f t="shared" si="11"/>
        <v>#DIV/0!</v>
      </c>
      <c r="EQ22" s="229">
        <f>Тор!C96</f>
        <v>10</v>
      </c>
      <c r="ER22" s="229">
        <f>Тор!D96</f>
        <v>0</v>
      </c>
      <c r="ES22" s="228">
        <f t="shared" si="51"/>
        <v>0</v>
      </c>
      <c r="ET22" s="228">
        <f>Тор!C94</f>
        <v>0</v>
      </c>
      <c r="EU22" s="228">
        <f>Тор!D94</f>
        <v>0</v>
      </c>
      <c r="EV22" s="228" t="e">
        <f t="shared" si="52"/>
        <v>#DIV/0!</v>
      </c>
      <c r="EW22" s="232">
        <f t="shared" si="12"/>
        <v>-290.47623000000021</v>
      </c>
      <c r="EX22" s="232">
        <f t="shared" si="13"/>
        <v>-6.281130000000303</v>
      </c>
      <c r="EY22" s="228">
        <f t="shared" si="54"/>
        <v>2.1623559352860986</v>
      </c>
      <c r="EZ22" s="233"/>
      <c r="FA22" s="234"/>
      <c r="FC22" s="234"/>
      <c r="FF22" s="332"/>
      <c r="FG22" s="332"/>
      <c r="FH22" s="332"/>
      <c r="FI22" s="332"/>
      <c r="FJ22" s="332"/>
      <c r="FK22" s="332"/>
      <c r="FL22" s="332"/>
      <c r="FM22" s="332"/>
      <c r="FN22" s="332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3601.5600000000004</v>
      </c>
      <c r="D23" s="375">
        <f t="shared" si="0"/>
        <v>1467.0693700000002</v>
      </c>
      <c r="E23" s="187">
        <f t="shared" si="1"/>
        <v>40.734275425093571</v>
      </c>
      <c r="F23" s="185">
        <f t="shared" si="2"/>
        <v>967.7</v>
      </c>
      <c r="G23" s="185">
        <f t="shared" si="3"/>
        <v>274.95437000000004</v>
      </c>
      <c r="H23" s="187">
        <f t="shared" si="15"/>
        <v>28.4131828045882</v>
      </c>
      <c r="I23" s="195">
        <f>Хор!C6</f>
        <v>85.8</v>
      </c>
      <c r="J23" s="195">
        <f>Хор!D6</f>
        <v>43.949330000000003</v>
      </c>
      <c r="K23" s="187">
        <f t="shared" si="16"/>
        <v>51.22299533799535</v>
      </c>
      <c r="L23" s="187">
        <f>Хор!C8</f>
        <v>123.43</v>
      </c>
      <c r="M23" s="187">
        <f>Хор!D8</f>
        <v>69.312600000000003</v>
      </c>
      <c r="N23" s="184">
        <f t="shared" si="17"/>
        <v>56.155391720003244</v>
      </c>
      <c r="O23" s="184">
        <f>Хор!C9</f>
        <v>1.32</v>
      </c>
      <c r="P23" s="184">
        <f>Хор!D9</f>
        <v>0.52544000000000002</v>
      </c>
      <c r="Q23" s="184">
        <f t="shared" si="18"/>
        <v>39.806060606060605</v>
      </c>
      <c r="R23" s="184">
        <f>Хор!C10</f>
        <v>206.15</v>
      </c>
      <c r="S23" s="184">
        <f>Хор!D10</f>
        <v>104.49842</v>
      </c>
      <c r="T23" s="184">
        <f t="shared" si="19"/>
        <v>50.690477807421772</v>
      </c>
      <c r="U23" s="184">
        <f>Хор!C11</f>
        <v>0</v>
      </c>
      <c r="V23" s="184">
        <f>Хор!D11</f>
        <v>-14.4011</v>
      </c>
      <c r="W23" s="184" t="e">
        <f t="shared" si="20"/>
        <v>#DIV/0!</v>
      </c>
      <c r="X23" s="195">
        <f>Хор!C13</f>
        <v>10</v>
      </c>
      <c r="Y23" s="195">
        <f>Хор!D13</f>
        <v>2.532</v>
      </c>
      <c r="Z23" s="187">
        <f t="shared" si="21"/>
        <v>25.319999999999997</v>
      </c>
      <c r="AA23" s="195">
        <f>Хор!C15</f>
        <v>110</v>
      </c>
      <c r="AB23" s="195">
        <f>Хор!D15</f>
        <v>1.37137</v>
      </c>
      <c r="AC23" s="187">
        <f t="shared" si="22"/>
        <v>1.2467000000000001</v>
      </c>
      <c r="AD23" s="195">
        <f>Хор!C16</f>
        <v>390</v>
      </c>
      <c r="AE23" s="195">
        <f>Хор!D16</f>
        <v>43.329410000000003</v>
      </c>
      <c r="AF23" s="187">
        <f t="shared" si="4"/>
        <v>11.110105128205129</v>
      </c>
      <c r="AG23" s="187">
        <f>Хор!C18</f>
        <v>8</v>
      </c>
      <c r="AH23" s="187">
        <f>Хор!D18</f>
        <v>18.8</v>
      </c>
      <c r="AI23" s="187">
        <f t="shared" si="23"/>
        <v>235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1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72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2633.86</v>
      </c>
      <c r="CA23" s="359">
        <f t="shared" si="35"/>
        <v>1192.115</v>
      </c>
      <c r="CB23" s="187">
        <f t="shared" si="53"/>
        <v>45.261137645888546</v>
      </c>
      <c r="CC23" s="187">
        <f>Хор!C39</f>
        <v>1258.9960000000001</v>
      </c>
      <c r="CD23" s="187">
        <f>Хор!D39</f>
        <v>769.33900000000006</v>
      </c>
      <c r="CE23" s="187">
        <f t="shared" si="36"/>
        <v>61.107342676227731</v>
      </c>
      <c r="CF23" s="187">
        <f>Хор!C41</f>
        <v>730</v>
      </c>
      <c r="CG23" s="187">
        <f>Хор!D41</f>
        <v>215</v>
      </c>
      <c r="CH23" s="187">
        <f t="shared" si="37"/>
        <v>29.452054794520549</v>
      </c>
      <c r="CI23" s="187">
        <f>Хор!C42</f>
        <v>480.91</v>
      </c>
      <c r="CJ23" s="187">
        <f>Хор!D42</f>
        <v>85.23</v>
      </c>
      <c r="CK23" s="187">
        <f t="shared" si="7"/>
        <v>17.722650807843461</v>
      </c>
      <c r="CL23" s="187">
        <f>Хор!C43</f>
        <v>73.953999999999994</v>
      </c>
      <c r="CM23" s="187">
        <f>Хор!D43</f>
        <v>35.545999999999999</v>
      </c>
      <c r="CN23" s="187">
        <f t="shared" si="8"/>
        <v>48.065013386699846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87</v>
      </c>
      <c r="CT23" s="187">
        <f t="shared" si="9"/>
        <v>96.666666666666671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3584.7995600000004</v>
      </c>
      <c r="DH23" s="377">
        <f t="shared" si="39"/>
        <v>1153.30648</v>
      </c>
      <c r="DI23" s="187">
        <f t="shared" si="40"/>
        <v>32.172132937887319</v>
      </c>
      <c r="DJ23" s="195">
        <f t="shared" si="41"/>
        <v>1135.8050000000001</v>
      </c>
      <c r="DK23" s="195">
        <f t="shared" si="41"/>
        <v>425.33467999999999</v>
      </c>
      <c r="DL23" s="187">
        <f t="shared" si="42"/>
        <v>37.447861208570131</v>
      </c>
      <c r="DM23" s="187">
        <f>Хор!C56</f>
        <v>1128.096</v>
      </c>
      <c r="DN23" s="187">
        <f>Хор!D56</f>
        <v>422.62617999999998</v>
      </c>
      <c r="DO23" s="187">
        <f t="shared" si="43"/>
        <v>37.463671531500864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70.594999999999999</v>
      </c>
      <c r="DZ23" s="187">
        <f>Хор!D63</f>
        <v>28.711179999999999</v>
      </c>
      <c r="EA23" s="187">
        <f t="shared" si="47"/>
        <v>40.670274098732207</v>
      </c>
      <c r="EB23" s="187">
        <f>Хор!C64</f>
        <v>4</v>
      </c>
      <c r="EC23" s="187">
        <f>Хор!D64</f>
        <v>0</v>
      </c>
      <c r="ED23" s="187">
        <f t="shared" si="48"/>
        <v>0</v>
      </c>
      <c r="EE23" s="195">
        <f>Хор!C69</f>
        <v>908.89756</v>
      </c>
      <c r="EF23" s="195">
        <f>Хор!D69</f>
        <v>165.5</v>
      </c>
      <c r="EG23" s="187">
        <f t="shared" si="49"/>
        <v>18.20887273588896</v>
      </c>
      <c r="EH23" s="195">
        <f>Хор!C74</f>
        <v>184.80199999999999</v>
      </c>
      <c r="EI23" s="195">
        <f>Хор!D74</f>
        <v>99.760620000000003</v>
      </c>
      <c r="EJ23" s="187">
        <f t="shared" si="50"/>
        <v>53.982435255029714</v>
      </c>
      <c r="EK23" s="195">
        <f>Хор!C78</f>
        <v>1277.7</v>
      </c>
      <c r="EL23" s="197">
        <f>Хор!D78</f>
        <v>432</v>
      </c>
      <c r="EM23" s="187">
        <f t="shared" si="10"/>
        <v>33.81075369805118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313.7628900000002</v>
      </c>
      <c r="EY23" s="184">
        <f t="shared" si="54"/>
        <v>1872.04446899962</v>
      </c>
      <c r="EZ23" s="192"/>
      <c r="FA23" s="193"/>
      <c r="FC23" s="193"/>
    </row>
    <row r="24" spans="1:170" s="169" customFormat="1" ht="15" customHeight="1">
      <c r="A24" s="181">
        <v>11</v>
      </c>
      <c r="B24" s="194" t="s">
        <v>314</v>
      </c>
      <c r="C24" s="183">
        <f t="shared" si="14"/>
        <v>3658.627</v>
      </c>
      <c r="D24" s="375">
        <f t="shared" si="0"/>
        <v>1785.2829999999999</v>
      </c>
      <c r="E24" s="187">
        <f t="shared" si="1"/>
        <v>48.796529408436548</v>
      </c>
      <c r="F24" s="185">
        <f t="shared" si="2"/>
        <v>1071.1199999999999</v>
      </c>
      <c r="G24" s="185">
        <f t="shared" si="3"/>
        <v>379.53299999999996</v>
      </c>
      <c r="H24" s="187">
        <f t="shared" si="15"/>
        <v>35.433284786018369</v>
      </c>
      <c r="I24" s="195">
        <f>Чум!C6</f>
        <v>95.3</v>
      </c>
      <c r="J24" s="195">
        <f>Чум!D6</f>
        <v>37.602460000000001</v>
      </c>
      <c r="K24" s="187">
        <f t="shared" si="16"/>
        <v>39.456935991605455</v>
      </c>
      <c r="L24" s="187">
        <f>Чум!C8</f>
        <v>117.05</v>
      </c>
      <c r="M24" s="187">
        <f>Чум!D8</f>
        <v>65.735219999999998</v>
      </c>
      <c r="N24" s="184">
        <f t="shared" si="17"/>
        <v>56.159948739854762</v>
      </c>
      <c r="O24" s="184">
        <f>Чум!C9</f>
        <v>1.26</v>
      </c>
      <c r="P24" s="184">
        <f>Чум!D9</f>
        <v>0.49836999999999998</v>
      </c>
      <c r="Q24" s="184">
        <f t="shared" si="18"/>
        <v>39.553174603174604</v>
      </c>
      <c r="R24" s="184">
        <f>Чум!C10</f>
        <v>195.51</v>
      </c>
      <c r="S24" s="184">
        <f>Чум!D10</f>
        <v>99.104950000000002</v>
      </c>
      <c r="T24" s="184">
        <f t="shared" si="19"/>
        <v>50.690476190476197</v>
      </c>
      <c r="U24" s="184">
        <f>Чум!C11</f>
        <v>0</v>
      </c>
      <c r="V24" s="184">
        <f>Чум!D11</f>
        <v>-13.657819999999999</v>
      </c>
      <c r="W24" s="184" t="e">
        <f t="shared" si="20"/>
        <v>#DIV/0!</v>
      </c>
      <c r="X24" s="195">
        <f>Чум!C13</f>
        <v>35</v>
      </c>
      <c r="Y24" s="195">
        <f>Чум!D13</f>
        <v>69.827370000000002</v>
      </c>
      <c r="Z24" s="187">
        <f t="shared" si="21"/>
        <v>199.50677142857143</v>
      </c>
      <c r="AA24" s="195">
        <f>Чум!C15</f>
        <v>75</v>
      </c>
      <c r="AB24" s="195">
        <f>Чум!D15</f>
        <v>2.7284000000000002</v>
      </c>
      <c r="AC24" s="187">
        <f t="shared" si="22"/>
        <v>3.637866666666667</v>
      </c>
      <c r="AD24" s="195">
        <f>Чум!C16</f>
        <v>460</v>
      </c>
      <c r="AE24" s="195">
        <f>Чум!D16</f>
        <v>80.930599999999998</v>
      </c>
      <c r="AF24" s="187">
        <f t="shared" si="4"/>
        <v>17.593608695652176</v>
      </c>
      <c r="AG24" s="187">
        <f>Чум!C18</f>
        <v>10</v>
      </c>
      <c r="AH24" s="187">
        <f>Чум!D18</f>
        <v>6.6</v>
      </c>
      <c r="AI24" s="187">
        <f t="shared" si="23"/>
        <v>65.999999999999986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13.965</v>
      </c>
      <c r="AR24" s="187">
        <f t="shared" si="24"/>
        <v>17.456250000000001</v>
      </c>
      <c r="AS24" s="188">
        <f>Чум!C28</f>
        <v>2</v>
      </c>
      <c r="AT24" s="1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0</v>
      </c>
      <c r="AZ24" s="187">
        <f>Чум!D30</f>
        <v>16.19961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72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86">
        <f t="shared" si="34"/>
        <v>2587.5070000000001</v>
      </c>
      <c r="CA24" s="359">
        <f t="shared" si="35"/>
        <v>1405.75</v>
      </c>
      <c r="CB24" s="187">
        <f t="shared" si="53"/>
        <v>54.328355440197839</v>
      </c>
      <c r="CC24" s="187">
        <f>Чум!C42</f>
        <v>1906.663</v>
      </c>
      <c r="CD24" s="187">
        <f>Чум!D42</f>
        <v>1195.106</v>
      </c>
      <c r="CE24" s="187">
        <f t="shared" si="36"/>
        <v>62.680505154817602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573.79</v>
      </c>
      <c r="CJ24" s="187">
        <f>Чум!D44</f>
        <v>142.03800000000001</v>
      </c>
      <c r="CK24" s="187">
        <f t="shared" si="7"/>
        <v>24.754352637724605</v>
      </c>
      <c r="CL24" s="187">
        <f>Чум!C45</f>
        <v>73.953999999999994</v>
      </c>
      <c r="CM24" s="187">
        <f>Чум!D45</f>
        <v>35.545999999999999</v>
      </c>
      <c r="CN24" s="187">
        <f t="shared" si="8"/>
        <v>48.065013386699846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3732.2935299999999</v>
      </c>
      <c r="DH24" s="377">
        <f t="shared" si="39"/>
        <v>1592.9248799999998</v>
      </c>
      <c r="DI24" s="187">
        <f t="shared" si="40"/>
        <v>42.679517760222893</v>
      </c>
      <c r="DJ24" s="195">
        <f t="shared" si="41"/>
        <v>1291.3660000000002</v>
      </c>
      <c r="DK24" s="195">
        <f t="shared" si="41"/>
        <v>576.19853000000001</v>
      </c>
      <c r="DL24" s="187">
        <f t="shared" si="42"/>
        <v>44.619304674275142</v>
      </c>
      <c r="DM24" s="187">
        <f>Чум!C58</f>
        <v>1274.5630000000001</v>
      </c>
      <c r="DN24" s="187">
        <f>Чум!D58</f>
        <v>564.85103000000004</v>
      </c>
      <c r="DO24" s="187">
        <f t="shared" si="43"/>
        <v>44.317231082339589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11.803000000000001</v>
      </c>
      <c r="DW24" s="187">
        <f>Чум!D63</f>
        <v>11.3475</v>
      </c>
      <c r="DX24" s="187">
        <f t="shared" si="46"/>
        <v>96.140811658053025</v>
      </c>
      <c r="DY24" s="187">
        <f>Чум!C65</f>
        <v>70.594999999999999</v>
      </c>
      <c r="DZ24" s="187">
        <f>Чум!D65</f>
        <v>34.226469999999999</v>
      </c>
      <c r="EA24" s="187">
        <f t="shared" si="47"/>
        <v>48.482852893264393</v>
      </c>
      <c r="EB24" s="187">
        <f>Чум!C66</f>
        <v>9.25</v>
      </c>
      <c r="EC24" s="187">
        <f>Чум!D66</f>
        <v>0.85</v>
      </c>
      <c r="ED24" s="187">
        <f t="shared" si="48"/>
        <v>9.1891891891891877</v>
      </c>
      <c r="EE24" s="195">
        <f>Чум!C71</f>
        <v>995.69153000000006</v>
      </c>
      <c r="EF24" s="195">
        <f>Чум!D71</f>
        <v>274.03034000000002</v>
      </c>
      <c r="EG24" s="187">
        <f t="shared" si="49"/>
        <v>27.521610031171001</v>
      </c>
      <c r="EH24" s="195">
        <f>Чум!C76</f>
        <v>490.59100000000001</v>
      </c>
      <c r="EI24" s="195">
        <f>Чум!D76</f>
        <v>270.50054</v>
      </c>
      <c r="EJ24" s="187">
        <f t="shared" si="50"/>
        <v>55.137689032208094</v>
      </c>
      <c r="EK24" s="195">
        <f>Чум!C80</f>
        <v>872.8</v>
      </c>
      <c r="EL24" s="197">
        <f>Чум!D80</f>
        <v>436.404</v>
      </c>
      <c r="EM24" s="187">
        <f t="shared" si="10"/>
        <v>50.000458295142067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4" t="e">
        <f t="shared" si="52"/>
        <v>#DIV/0!</v>
      </c>
      <c r="EW24" s="191">
        <f t="shared" si="12"/>
        <v>-73.666529999999966</v>
      </c>
      <c r="EX24" s="191">
        <f t="shared" si="13"/>
        <v>192.3581200000001</v>
      </c>
      <c r="EY24" s="184">
        <f t="shared" si="54"/>
        <v>-261.12010434046533</v>
      </c>
      <c r="EZ24" s="192"/>
      <c r="FA24" s="193"/>
      <c r="FC24" s="193"/>
    </row>
    <row r="25" spans="1:170" s="235" customFormat="1" ht="15" customHeight="1">
      <c r="A25" s="226">
        <v>12</v>
      </c>
      <c r="B25" s="227" t="s">
        <v>315</v>
      </c>
      <c r="C25" s="292">
        <f t="shared" si="14"/>
        <v>3449.0010000000002</v>
      </c>
      <c r="D25" s="376">
        <f t="shared" si="0"/>
        <v>1410.95813</v>
      </c>
      <c r="E25" s="228">
        <f t="shared" si="1"/>
        <v>40.90918297791157</v>
      </c>
      <c r="F25" s="229">
        <f t="shared" si="2"/>
        <v>909.76</v>
      </c>
      <c r="G25" s="229">
        <f t="shared" si="3"/>
        <v>232.46013000000002</v>
      </c>
      <c r="H25" s="228">
        <f t="shared" si="15"/>
        <v>25.551808169187478</v>
      </c>
      <c r="I25" s="188">
        <f>Шать!C6</f>
        <v>33.4</v>
      </c>
      <c r="J25" s="188">
        <f>Шать!D6</f>
        <v>14.943250000000001</v>
      </c>
      <c r="K25" s="228">
        <f t="shared" si="16"/>
        <v>44.740269461077844</v>
      </c>
      <c r="L25" s="228">
        <f>Шать!C8</f>
        <v>120.24</v>
      </c>
      <c r="M25" s="228">
        <f>Шать!D8</f>
        <v>67.523889999999994</v>
      </c>
      <c r="N25" s="228">
        <f t="shared" si="17"/>
        <v>56.15759314703925</v>
      </c>
      <c r="O25" s="228">
        <f>Шать!C9</f>
        <v>1.29</v>
      </c>
      <c r="P25" s="228">
        <f>Шать!D9</f>
        <v>0.51192000000000004</v>
      </c>
      <c r="Q25" s="228">
        <f t="shared" si="18"/>
        <v>39.68372093023256</v>
      </c>
      <c r="R25" s="228">
        <f>Шать!C10</f>
        <v>200.83</v>
      </c>
      <c r="S25" s="228">
        <f>Шать!D10</f>
        <v>101.80171</v>
      </c>
      <c r="T25" s="228">
        <f t="shared" si="19"/>
        <v>50.690489468704868</v>
      </c>
      <c r="U25" s="228">
        <f>Шать!C11</f>
        <v>0</v>
      </c>
      <c r="V25" s="228">
        <f>Шать!D11</f>
        <v>-14.02943</v>
      </c>
      <c r="W25" s="228" t="e">
        <f t="shared" si="20"/>
        <v>#DIV/0!</v>
      </c>
      <c r="X25" s="188">
        <f>Шать!C13</f>
        <v>10</v>
      </c>
      <c r="Y25" s="188">
        <f>Шать!D13</f>
        <v>8.5609699999999993</v>
      </c>
      <c r="Z25" s="228">
        <f t="shared" si="21"/>
        <v>85.609699999999989</v>
      </c>
      <c r="AA25" s="188">
        <f>Шать!C15</f>
        <v>40</v>
      </c>
      <c r="AB25" s="188">
        <f>Шать!D15</f>
        <v>3.6221100000000002</v>
      </c>
      <c r="AC25" s="228">
        <f t="shared" si="22"/>
        <v>9.055275</v>
      </c>
      <c r="AD25" s="188">
        <f>Шать!C16</f>
        <v>315</v>
      </c>
      <c r="AE25" s="188">
        <f>Шать!D16</f>
        <v>22.8521</v>
      </c>
      <c r="AF25" s="228">
        <f t="shared" si="4"/>
        <v>7.2546349206349214</v>
      </c>
      <c r="AG25" s="228">
        <f>Шать!C18</f>
        <v>7</v>
      </c>
      <c r="AH25" s="228">
        <f>Шать!D18</f>
        <v>0.7</v>
      </c>
      <c r="AI25" s="228">
        <f t="shared" si="23"/>
        <v>10</v>
      </c>
      <c r="AJ25" s="228"/>
      <c r="AK25" s="228"/>
      <c r="AL25" s="228" t="e">
        <f>AJ25/AK25*100</f>
        <v>#DIV/0!</v>
      </c>
      <c r="AM25" s="188">
        <v>0</v>
      </c>
      <c r="AN25" s="188">
        <f>0</f>
        <v>0</v>
      </c>
      <c r="AO25" s="228" t="e">
        <f t="shared" si="6"/>
        <v>#DIV/0!</v>
      </c>
      <c r="AP25" s="188">
        <f>Шать!C27</f>
        <v>115</v>
      </c>
      <c r="AQ25" s="195">
        <f>Шать!D27</f>
        <v>6.5140000000000002</v>
      </c>
      <c r="AR25" s="228">
        <f t="shared" si="24"/>
        <v>5.6643478260869564</v>
      </c>
      <c r="AS25" s="188">
        <f>Шать!C28</f>
        <v>17</v>
      </c>
      <c r="AT25" s="188">
        <f>Шать!D28</f>
        <v>13.005599999999999</v>
      </c>
      <c r="AU25" s="228">
        <f t="shared" si="25"/>
        <v>76.503529411764703</v>
      </c>
      <c r="AV25" s="188"/>
      <c r="AW25" s="188"/>
      <c r="AX25" s="228" t="e">
        <f t="shared" si="26"/>
        <v>#DIV/0!</v>
      </c>
      <c r="AY25" s="228">
        <f>Шать!C29</f>
        <v>50</v>
      </c>
      <c r="AZ25" s="228">
        <f>Шать!D29</f>
        <v>6.5733199999999998</v>
      </c>
      <c r="BA25" s="228">
        <f t="shared" si="27"/>
        <v>13.146639999999998</v>
      </c>
      <c r="BB25" s="228"/>
      <c r="BC25" s="228"/>
      <c r="BD25" s="228"/>
      <c r="BE25" s="228">
        <f>Шать!C33</f>
        <v>0</v>
      </c>
      <c r="BF25" s="228">
        <f>Шать!D33</f>
        <v>0</v>
      </c>
      <c r="BG25" s="228" t="e">
        <f t="shared" si="28"/>
        <v>#DIV/0!</v>
      </c>
      <c r="BH25" s="228"/>
      <c r="BI25" s="228"/>
      <c r="BJ25" s="228" t="e">
        <f t="shared" si="29"/>
        <v>#DIV/0!</v>
      </c>
      <c r="BK25" s="228"/>
      <c r="BL25" s="228"/>
      <c r="BM25" s="228"/>
      <c r="BN25" s="228">
        <f>Шать!C34</f>
        <v>0</v>
      </c>
      <c r="BO25" s="373">
        <f>Шать!D34</f>
        <v>8.7899999999999992E-3</v>
      </c>
      <c r="BP25" s="228" t="e">
        <f t="shared" si="30"/>
        <v>#DIV/0!</v>
      </c>
      <c r="BQ25" s="228">
        <f>Шать!C37</f>
        <v>0</v>
      </c>
      <c r="BR25" s="228">
        <f>Шать!D39</f>
        <v>-0.12809999999999999</v>
      </c>
      <c r="BS25" s="228" t="e">
        <f t="shared" si="31"/>
        <v>#DIV/0!</v>
      </c>
      <c r="BT25" s="228"/>
      <c r="BU25" s="228"/>
      <c r="BV25" s="230" t="e">
        <f t="shared" si="32"/>
        <v>#DIV/0!</v>
      </c>
      <c r="BW25" s="230"/>
      <c r="BX25" s="230"/>
      <c r="BY25" s="230" t="e">
        <f t="shared" si="33"/>
        <v>#DIV/0!</v>
      </c>
      <c r="BZ25" s="188">
        <f t="shared" si="34"/>
        <v>2539.241</v>
      </c>
      <c r="CA25" s="359">
        <f t="shared" si="35"/>
        <v>1178.498</v>
      </c>
      <c r="CB25" s="228">
        <f t="shared" si="53"/>
        <v>46.411427666771296</v>
      </c>
      <c r="CC25" s="228">
        <f>Шать!C42</f>
        <v>1243.7660000000001</v>
      </c>
      <c r="CD25" s="228">
        <f>Шать!D42</f>
        <v>761.779</v>
      </c>
      <c r="CE25" s="228">
        <f t="shared" si="36"/>
        <v>61.24777490299622</v>
      </c>
      <c r="CF25" s="228">
        <f>Шать!C43</f>
        <v>400</v>
      </c>
      <c r="CG25" s="228">
        <f>Шать!D43</f>
        <v>200</v>
      </c>
      <c r="CH25" s="228">
        <f t="shared" si="37"/>
        <v>50</v>
      </c>
      <c r="CI25" s="228">
        <f>Шать!C44</f>
        <v>725.12</v>
      </c>
      <c r="CJ25" s="228">
        <f>Шать!D44</f>
        <v>84.072999999999993</v>
      </c>
      <c r="CK25" s="228">
        <f t="shared" si="7"/>
        <v>11.594356796116504</v>
      </c>
      <c r="CL25" s="228">
        <f>Шать!C45</f>
        <v>73.254999999999995</v>
      </c>
      <c r="CM25" s="228">
        <f>Шать!D45</f>
        <v>35.545999999999999</v>
      </c>
      <c r="CN25" s="228">
        <f t="shared" si="8"/>
        <v>48.523650262780698</v>
      </c>
      <c r="CO25" s="228">
        <f>Шать!C46</f>
        <v>0</v>
      </c>
      <c r="CP25" s="228">
        <f>Шать!D46</f>
        <v>0</v>
      </c>
      <c r="CQ25" s="228"/>
      <c r="CR25" s="228">
        <f>Шать!C50</f>
        <v>97.1</v>
      </c>
      <c r="CS25" s="228">
        <f>Шать!D50</f>
        <v>97.1</v>
      </c>
      <c r="CT25" s="228">
        <f t="shared" si="9"/>
        <v>100</v>
      </c>
      <c r="CU25" s="228"/>
      <c r="CV25" s="228"/>
      <c r="CW25" s="228"/>
      <c r="CX25" s="188"/>
      <c r="CY25" s="188"/>
      <c r="CZ25" s="228" t="e">
        <f t="shared" si="38"/>
        <v>#DIV/0!</v>
      </c>
      <c r="DA25" s="228"/>
      <c r="DB25" s="228"/>
      <c r="DC25" s="228"/>
      <c r="DD25" s="228"/>
      <c r="DE25" s="228"/>
      <c r="DF25" s="228"/>
      <c r="DG25" s="188">
        <f t="shared" si="39"/>
        <v>3363.4555299999993</v>
      </c>
      <c r="DH25" s="378">
        <f t="shared" si="39"/>
        <v>1181.6032300000002</v>
      </c>
      <c r="DI25" s="228">
        <f>DH25/DG25*100</f>
        <v>35.130633345998199</v>
      </c>
      <c r="DJ25" s="188">
        <f t="shared" si="41"/>
        <v>1107.6084999999998</v>
      </c>
      <c r="DK25" s="188">
        <f t="shared" si="41"/>
        <v>517.57235000000003</v>
      </c>
      <c r="DL25" s="228">
        <f t="shared" si="42"/>
        <v>46.728817086542776</v>
      </c>
      <c r="DM25" s="228">
        <f>Шать!C58</f>
        <v>1100.9659999999999</v>
      </c>
      <c r="DN25" s="228">
        <f>Шать!D58</f>
        <v>511.92984999999999</v>
      </c>
      <c r="DO25" s="228">
        <f t="shared" si="43"/>
        <v>46.498243360830401</v>
      </c>
      <c r="DP25" s="228">
        <f>Шать!C61</f>
        <v>0</v>
      </c>
      <c r="DQ25" s="228">
        <f>Шать!D61</f>
        <v>0</v>
      </c>
      <c r="DR25" s="228" t="e">
        <f t="shared" si="44"/>
        <v>#DIV/0!</v>
      </c>
      <c r="DS25" s="228">
        <f>Шать!C62</f>
        <v>1</v>
      </c>
      <c r="DT25" s="228">
        <f>Шать!D62</f>
        <v>0</v>
      </c>
      <c r="DU25" s="228">
        <f t="shared" si="45"/>
        <v>0</v>
      </c>
      <c r="DV25" s="228">
        <f>Шать!C63</f>
        <v>5.6425000000000001</v>
      </c>
      <c r="DW25" s="228">
        <f>Шать!D63</f>
        <v>5.6425000000000001</v>
      </c>
      <c r="DX25" s="228">
        <f t="shared" si="46"/>
        <v>100</v>
      </c>
      <c r="DY25" s="228">
        <f>Шать!C65</f>
        <v>70.596000000000004</v>
      </c>
      <c r="DZ25" s="228">
        <f>Шать!D65</f>
        <v>33.630549999999999</v>
      </c>
      <c r="EA25" s="228">
        <f t="shared" si="47"/>
        <v>47.638038982378603</v>
      </c>
      <c r="EB25" s="228">
        <f>Шать!C66</f>
        <v>4</v>
      </c>
      <c r="EC25" s="228">
        <f>Шать!D66</f>
        <v>0</v>
      </c>
      <c r="ED25" s="228">
        <f t="shared" si="48"/>
        <v>0</v>
      </c>
      <c r="EE25" s="188">
        <f>Шать!C71</f>
        <v>1271.14553</v>
      </c>
      <c r="EF25" s="188">
        <f>Шать!D71</f>
        <v>206.80335000000002</v>
      </c>
      <c r="EG25" s="228">
        <f t="shared" si="49"/>
        <v>16.269053788042669</v>
      </c>
      <c r="EH25" s="188">
        <f>Шать!C76</f>
        <v>211.602</v>
      </c>
      <c r="EI25" s="188">
        <f>Шать!D76</f>
        <v>80.895979999999994</v>
      </c>
      <c r="EJ25" s="228">
        <f t="shared" si="50"/>
        <v>38.230253022183156</v>
      </c>
      <c r="EK25" s="188">
        <f>Шать!C80</f>
        <v>689.50350000000003</v>
      </c>
      <c r="EL25" s="231">
        <f>Шать!D80</f>
        <v>333.70299999999997</v>
      </c>
      <c r="EM25" s="228">
        <f t="shared" si="10"/>
        <v>48.397578837525842</v>
      </c>
      <c r="EN25" s="228">
        <f>Шать!C82</f>
        <v>5</v>
      </c>
      <c r="EO25" s="228">
        <f>Шать!D82</f>
        <v>5</v>
      </c>
      <c r="EP25" s="228">
        <f t="shared" si="11"/>
        <v>100</v>
      </c>
      <c r="EQ25" s="229">
        <f>Шать!C87</f>
        <v>4</v>
      </c>
      <c r="ER25" s="229">
        <f>Шать!D87</f>
        <v>3.9980000000000002</v>
      </c>
      <c r="ES25" s="228">
        <f t="shared" si="51"/>
        <v>99.95</v>
      </c>
      <c r="ET25" s="228">
        <f>Шать!C93</f>
        <v>0</v>
      </c>
      <c r="EU25" s="228">
        <f>Шать!D93</f>
        <v>0</v>
      </c>
      <c r="EV25" s="228" t="e">
        <f t="shared" si="52"/>
        <v>#DIV/0!</v>
      </c>
      <c r="EW25" s="232">
        <f t="shared" si="12"/>
        <v>85.545470000000932</v>
      </c>
      <c r="EX25" s="232">
        <f t="shared" si="13"/>
        <v>229.35489999999982</v>
      </c>
      <c r="EY25" s="228">
        <f t="shared" si="54"/>
        <v>268.10876134060322</v>
      </c>
      <c r="EZ25" s="233"/>
      <c r="FA25" s="234"/>
      <c r="FC25" s="234"/>
    </row>
    <row r="26" spans="1:170" s="169" customFormat="1" ht="15" customHeight="1">
      <c r="A26" s="201">
        <v>13</v>
      </c>
      <c r="B26" s="194" t="s">
        <v>316</v>
      </c>
      <c r="C26" s="183">
        <f t="shared" si="14"/>
        <v>4678.4279999999999</v>
      </c>
      <c r="D26" s="375">
        <f t="shared" si="0"/>
        <v>1290.605</v>
      </c>
      <c r="E26" s="187">
        <f t="shared" si="1"/>
        <v>27.586296080649316</v>
      </c>
      <c r="F26" s="185">
        <f t="shared" si="2"/>
        <v>2650.4100000000003</v>
      </c>
      <c r="G26" s="185">
        <f t="shared" si="3"/>
        <v>796.73874999999998</v>
      </c>
      <c r="H26" s="187">
        <f t="shared" si="15"/>
        <v>30.060962266215412</v>
      </c>
      <c r="I26" s="195">
        <f>Юнг!C6</f>
        <v>114.5</v>
      </c>
      <c r="J26" s="195">
        <f>Юнг!D6</f>
        <v>59.27881</v>
      </c>
      <c r="K26" s="187">
        <f t="shared" si="16"/>
        <v>51.771886462882101</v>
      </c>
      <c r="L26" s="187">
        <f>Юнг!C8</f>
        <v>185.53</v>
      </c>
      <c r="M26" s="187">
        <f>Юнг!D8</f>
        <v>104.19253</v>
      </c>
      <c r="N26" s="184">
        <f t="shared" si="17"/>
        <v>56.159397402037406</v>
      </c>
      <c r="O26" s="184">
        <f>Юнг!C9</f>
        <v>2</v>
      </c>
      <c r="P26" s="184">
        <f>Юнг!D9</f>
        <v>0.78986000000000001</v>
      </c>
      <c r="Q26" s="184">
        <f t="shared" si="18"/>
        <v>39.493000000000002</v>
      </c>
      <c r="R26" s="184">
        <f>Юнг!C10</f>
        <v>309.88</v>
      </c>
      <c r="S26" s="184">
        <f>Юнг!D10</f>
        <v>157.08475999999999</v>
      </c>
      <c r="T26" s="184">
        <f t="shared" si="19"/>
        <v>50.692125984251966</v>
      </c>
      <c r="U26" s="184">
        <f>Юнг!C11</f>
        <v>0</v>
      </c>
      <c r="V26" s="184">
        <f>Юнг!D11</f>
        <v>-21.648109999999999</v>
      </c>
      <c r="W26" s="184" t="e">
        <f t="shared" si="20"/>
        <v>#DIV/0!</v>
      </c>
      <c r="X26" s="195">
        <f>Юнг!C13</f>
        <v>15</v>
      </c>
      <c r="Y26" s="195">
        <f>Юнг!D13</f>
        <v>27.170999999999999</v>
      </c>
      <c r="Z26" s="187">
        <f t="shared" si="21"/>
        <v>181.14</v>
      </c>
      <c r="AA26" s="195">
        <f>Юнг!C15</f>
        <v>150</v>
      </c>
      <c r="AB26" s="195">
        <f>Юнг!D15</f>
        <v>39.006</v>
      </c>
      <c r="AC26" s="187">
        <f t="shared" si="22"/>
        <v>26.003999999999998</v>
      </c>
      <c r="AD26" s="195">
        <f>Юнг!C16</f>
        <v>1611.5</v>
      </c>
      <c r="AE26" s="195">
        <f>Юнг!D16</f>
        <v>344.15152999999998</v>
      </c>
      <c r="AF26" s="187">
        <f t="shared" si="4"/>
        <v>21.355974557865341</v>
      </c>
      <c r="AG26" s="187">
        <f>Юнг!C18</f>
        <v>12</v>
      </c>
      <c r="AH26" s="187">
        <f>Юнг!D18</f>
        <v>5.4</v>
      </c>
      <c r="AI26" s="187">
        <f t="shared" si="23"/>
        <v>45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15.474</v>
      </c>
      <c r="AR26" s="187">
        <f t="shared" si="24"/>
        <v>7.0336363636363641</v>
      </c>
      <c r="AS26" s="188">
        <f>Юнг!C28</f>
        <v>30</v>
      </c>
      <c r="AT26" s="195">
        <f>Юнг!D28</f>
        <v>22.2685</v>
      </c>
      <c r="AU26" s="187">
        <f t="shared" si="25"/>
        <v>74.228333333333325</v>
      </c>
      <c r="AV26" s="195"/>
      <c r="AW26" s="195"/>
      <c r="AX26" s="187" t="e">
        <f t="shared" si="26"/>
        <v>#DIV/0!</v>
      </c>
      <c r="AY26" s="187">
        <f>Юнг!C30</f>
        <v>0</v>
      </c>
      <c r="AZ26" s="187">
        <f>Юнг!D30</f>
        <v>42.989870000000003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Юнг!D33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72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0.57999999999999996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86">
        <f t="shared" si="34"/>
        <v>2028.018</v>
      </c>
      <c r="CA26" s="359">
        <f t="shared" si="35"/>
        <v>493.86624999999998</v>
      </c>
      <c r="CB26" s="187">
        <f t="shared" si="53"/>
        <v>24.352163047862494</v>
      </c>
      <c r="CC26" s="187">
        <f>Юнг!C41</f>
        <v>859.154</v>
      </c>
      <c r="CD26" s="187">
        <f>Юнг!D41</f>
        <v>632.57899999999995</v>
      </c>
      <c r="CE26" s="187">
        <f t="shared" si="36"/>
        <v>73.628127204203196</v>
      </c>
      <c r="CF26" s="187">
        <f>Юнг!C42</f>
        <v>600</v>
      </c>
      <c r="CG26" s="187">
        <f>Юнг!D42</f>
        <v>0</v>
      </c>
      <c r="CH26" s="187">
        <f t="shared" si="37"/>
        <v>0</v>
      </c>
      <c r="CI26" s="187">
        <f>Юнг!C43</f>
        <v>457.19</v>
      </c>
      <c r="CJ26" s="187">
        <f>Юнг!D43</f>
        <v>48.427</v>
      </c>
      <c r="CK26" s="187">
        <f t="shared" si="7"/>
        <v>10.592313917627244</v>
      </c>
      <c r="CL26" s="187">
        <f>Юнг!C44</f>
        <v>71.573999999999998</v>
      </c>
      <c r="CM26" s="187">
        <f>Юнг!D44</f>
        <v>35.545999999999999</v>
      </c>
      <c r="CN26" s="187">
        <f t="shared" si="8"/>
        <v>49.663285550618937</v>
      </c>
      <c r="CO26" s="187">
        <f>Юнг!C45</f>
        <v>0</v>
      </c>
      <c r="CP26" s="187">
        <f>Юнг!D45</f>
        <v>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-262.74074999999999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5325.0769199999995</v>
      </c>
      <c r="DH26" s="377">
        <f t="shared" si="39"/>
        <v>1608.1171000000002</v>
      </c>
      <c r="DI26" s="187">
        <f t="shared" si="40"/>
        <v>30.198945933723721</v>
      </c>
      <c r="DJ26" s="195">
        <f t="shared" si="41"/>
        <v>1438.34</v>
      </c>
      <c r="DK26" s="195">
        <f t="shared" si="41"/>
        <v>644.34231999999997</v>
      </c>
      <c r="DL26" s="187">
        <f t="shared" si="42"/>
        <v>44.797636163911179</v>
      </c>
      <c r="DM26" s="187">
        <f>Юнг!C57</f>
        <v>1429.154</v>
      </c>
      <c r="DN26" s="187">
        <f>Юнг!D57</f>
        <v>640.58381999999995</v>
      </c>
      <c r="DO26" s="187">
        <f t="shared" si="43"/>
        <v>44.822588748308434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4.1859999999999999</v>
      </c>
      <c r="DW26" s="187">
        <f>Юнг!D62</f>
        <v>3.7585000000000002</v>
      </c>
      <c r="DX26" s="187">
        <f t="shared" si="46"/>
        <v>89.787386526516968</v>
      </c>
      <c r="DY26" s="187">
        <f>Юнг!C64</f>
        <v>70.594999999999999</v>
      </c>
      <c r="DZ26" s="187">
        <f>Юнг!D64</f>
        <v>35.529000000000003</v>
      </c>
      <c r="EA26" s="187">
        <f t="shared" si="47"/>
        <v>50.327926907004752</v>
      </c>
      <c r="EB26" s="187">
        <f>Юнг!C65</f>
        <v>25.3</v>
      </c>
      <c r="EC26" s="187">
        <f>Юнг!D65</f>
        <v>4.2</v>
      </c>
      <c r="ED26" s="187">
        <f t="shared" si="48"/>
        <v>16.600790513833992</v>
      </c>
      <c r="EE26" s="195">
        <f>Юнг!C70</f>
        <v>2220.5359200000003</v>
      </c>
      <c r="EF26" s="195">
        <f>Юнг!D70</f>
        <v>532.18604000000005</v>
      </c>
      <c r="EG26" s="187">
        <f t="shared" si="49"/>
        <v>23.966558487376329</v>
      </c>
      <c r="EH26" s="195">
        <f>Юнг!C75</f>
        <v>600.10599999999999</v>
      </c>
      <c r="EI26" s="195">
        <f>Юнг!D75</f>
        <v>102.19947999999999</v>
      </c>
      <c r="EJ26" s="187">
        <f t="shared" si="50"/>
        <v>17.030237991288207</v>
      </c>
      <c r="EK26" s="195">
        <f>Юнг!C79</f>
        <v>950.2</v>
      </c>
      <c r="EL26" s="197">
        <f>Юнг!D79</f>
        <v>287.46026000000001</v>
      </c>
      <c r="EM26" s="187">
        <f t="shared" si="10"/>
        <v>30.252605767206902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20</v>
      </c>
      <c r="ER26" s="198">
        <f>Юнг!D86</f>
        <v>2.2000000000000002</v>
      </c>
      <c r="ES26" s="187">
        <f t="shared" si="51"/>
        <v>11.000000000000002</v>
      </c>
      <c r="ET26" s="187">
        <f>Юнг!C92</f>
        <v>0</v>
      </c>
      <c r="EU26" s="187">
        <f>Юнг!D92</f>
        <v>0</v>
      </c>
      <c r="EV26" s="184" t="e">
        <f t="shared" si="52"/>
        <v>#DIV/0!</v>
      </c>
      <c r="EW26" s="191">
        <f t="shared" si="12"/>
        <v>-646.64891999999963</v>
      </c>
      <c r="EX26" s="191">
        <f t="shared" si="13"/>
        <v>-317.51210000000015</v>
      </c>
      <c r="EY26" s="184">
        <f t="shared" si="54"/>
        <v>49.101156776075698</v>
      </c>
      <c r="EZ26" s="192"/>
      <c r="FA26" s="193"/>
      <c r="FC26" s="193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7205.1820000000007</v>
      </c>
      <c r="D27" s="375">
        <f t="shared" si="0"/>
        <v>2709.93253</v>
      </c>
      <c r="E27" s="187">
        <f t="shared" si="1"/>
        <v>37.610882417682163</v>
      </c>
      <c r="F27" s="185">
        <f>I27+X27+AA27+AD27+AG27+AM27+AS27+BE27+BQ27+BN27+AJ27+AY27+L27+R27+O27+U27+AP27</f>
        <v>1598.5400000000002</v>
      </c>
      <c r="G27" s="185">
        <f t="shared" si="3"/>
        <v>709.21852999999999</v>
      </c>
      <c r="H27" s="187">
        <f t="shared" si="15"/>
        <v>44.366642686451378</v>
      </c>
      <c r="I27" s="195">
        <f>Юсь!C6</f>
        <v>105.2</v>
      </c>
      <c r="J27" s="195">
        <f>Юсь!D6</f>
        <v>56.835360000000001</v>
      </c>
      <c r="K27" s="187">
        <f t="shared" si="16"/>
        <v>54.026007604562743</v>
      </c>
      <c r="L27" s="187">
        <f>Юсь!C8</f>
        <v>250.04</v>
      </c>
      <c r="M27" s="187">
        <f>Юсь!D8</f>
        <v>140.41391999999999</v>
      </c>
      <c r="N27" s="184">
        <f t="shared" si="17"/>
        <v>56.15658294672852</v>
      </c>
      <c r="O27" s="184">
        <f>Юсь!C9</f>
        <v>2.68</v>
      </c>
      <c r="P27" s="184">
        <f>Юсь!D9</f>
        <v>1.0645</v>
      </c>
      <c r="Q27" s="184">
        <f t="shared" si="18"/>
        <v>39.720149253731343</v>
      </c>
      <c r="R27" s="184">
        <f>Юсь!C10</f>
        <v>417.62</v>
      </c>
      <c r="S27" s="184">
        <f>Юсь!D10</f>
        <v>211.69361000000001</v>
      </c>
      <c r="T27" s="184">
        <f t="shared" si="19"/>
        <v>50.690486566735316</v>
      </c>
      <c r="U27" s="184">
        <f>Юсь!C11</f>
        <v>0</v>
      </c>
      <c r="V27" s="184">
        <f>Юсь!D11</f>
        <v>-29.17389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10.07429</v>
      </c>
      <c r="AC27" s="187">
        <f t="shared" si="22"/>
        <v>9.5945619047619051</v>
      </c>
      <c r="AD27" s="195">
        <f>Юсь!C16</f>
        <v>420</v>
      </c>
      <c r="AE27" s="195">
        <f>Юсь!D16</f>
        <v>23.492540000000002</v>
      </c>
      <c r="AF27" s="187">
        <f t="shared" si="4"/>
        <v>5.593461904761905</v>
      </c>
      <c r="AG27" s="187">
        <f>Юсь!C18</f>
        <v>8</v>
      </c>
      <c r="AH27" s="187">
        <f>Юсь!D18</f>
        <v>2.75</v>
      </c>
      <c r="AI27" s="187">
        <f t="shared" si="23"/>
        <v>34.375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195">
        <f>Юсь!D28</f>
        <v>18</v>
      </c>
      <c r="AU27" s="187">
        <f t="shared" si="25"/>
        <v>30</v>
      </c>
      <c r="AV27" s="195"/>
      <c r="AW27" s="195"/>
      <c r="AX27" s="187" t="e">
        <f t="shared" si="26"/>
        <v>#DIV/0!</v>
      </c>
      <c r="AY27" s="187">
        <f>Юсь!C30</f>
        <v>200</v>
      </c>
      <c r="AZ27" s="187">
        <f>Юсь!D30</f>
        <v>272.65098</v>
      </c>
      <c r="BA27" s="187">
        <f t="shared" si="27"/>
        <v>136.32549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72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5606.6420000000007</v>
      </c>
      <c r="CA27" s="359">
        <f t="shared" si="35"/>
        <v>2000.7139999999999</v>
      </c>
      <c r="CB27" s="187">
        <f t="shared" si="53"/>
        <v>35.684711098015526</v>
      </c>
      <c r="CC27" s="187">
        <f>Юсь!C39</f>
        <v>2768.5630000000001</v>
      </c>
      <c r="CD27" s="187">
        <f>Юсь!D39</f>
        <v>1737.9559999999999</v>
      </c>
      <c r="CE27" s="187">
        <f t="shared" si="36"/>
        <v>62.774659633896711</v>
      </c>
      <c r="CF27" s="187">
        <f>Юсь!C41</f>
        <v>624.97</v>
      </c>
      <c r="CG27" s="187">
        <f>Юсь!D41</f>
        <v>0</v>
      </c>
      <c r="CH27" s="187">
        <f t="shared" si="37"/>
        <v>0</v>
      </c>
      <c r="CI27" s="187">
        <f>Юсь!C42</f>
        <v>1977.41</v>
      </c>
      <c r="CJ27" s="187">
        <f>Юсь!D42</f>
        <v>110.31399999999999</v>
      </c>
      <c r="CK27" s="187">
        <f t="shared" si="7"/>
        <v>5.5787115469224888</v>
      </c>
      <c r="CL27" s="187">
        <f>Юсь!C43</f>
        <v>157.59899999999999</v>
      </c>
      <c r="CM27" s="187">
        <f>Юсь!D43</f>
        <v>74.343999999999994</v>
      </c>
      <c r="CN27" s="187">
        <f t="shared" si="8"/>
        <v>47.172888152843605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7889.2843800000001</v>
      </c>
      <c r="DH27" s="377">
        <f t="shared" si="39"/>
        <v>2579.8638099999998</v>
      </c>
      <c r="DI27" s="187">
        <f t="shared" si="40"/>
        <v>32.700859618397985</v>
      </c>
      <c r="DJ27" s="195">
        <f t="shared" si="41"/>
        <v>1256.8195000000001</v>
      </c>
      <c r="DK27" s="195">
        <f t="shared" si="41"/>
        <v>613.80201</v>
      </c>
      <c r="DL27" s="187">
        <f t="shared" si="42"/>
        <v>48.837721725355152</v>
      </c>
      <c r="DM27" s="187">
        <f>Юсь!C59</f>
        <v>1247.5630000000001</v>
      </c>
      <c r="DN27" s="187">
        <f>Юсь!D59</f>
        <v>609.54551000000004</v>
      </c>
      <c r="DO27" s="187">
        <f t="shared" si="43"/>
        <v>48.858896103844053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150.881</v>
      </c>
      <c r="DZ27" s="187">
        <f>Юсь!D66</f>
        <v>65.899519999999995</v>
      </c>
      <c r="EA27" s="187">
        <f t="shared" si="47"/>
        <v>43.676486767717606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1527.69938</v>
      </c>
      <c r="EF27" s="195">
        <f>Юсь!D72</f>
        <v>784.63736000000006</v>
      </c>
      <c r="EG27" s="187">
        <f t="shared" si="49"/>
        <v>51.360717315994464</v>
      </c>
      <c r="EH27" s="195">
        <f>Юсь!C77</f>
        <v>635.875</v>
      </c>
      <c r="EI27" s="195">
        <f>Юсь!D77</f>
        <v>143.75525999999999</v>
      </c>
      <c r="EJ27" s="187">
        <f t="shared" si="50"/>
        <v>22.607471594259877</v>
      </c>
      <c r="EK27" s="195">
        <f>Юсь!C81</f>
        <v>4311.0095000000001</v>
      </c>
      <c r="EL27" s="197">
        <f>Юсь!D81</f>
        <v>971.76966000000004</v>
      </c>
      <c r="EM27" s="187">
        <f t="shared" si="10"/>
        <v>22.541580110180689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-684.10237999999936</v>
      </c>
      <c r="EX27" s="191">
        <f t="shared" si="13"/>
        <v>130.06872000000021</v>
      </c>
      <c r="EY27" s="184">
        <f t="shared" si="54"/>
        <v>-19.013048894816055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291">
        <f t="shared" si="14"/>
        <v>8542.1840000000011</v>
      </c>
      <c r="D28" s="375">
        <f>G28+CA28+CY28</f>
        <v>2544.01908</v>
      </c>
      <c r="E28" s="187">
        <f>D28/C28*100</f>
        <v>29.781834247541372</v>
      </c>
      <c r="F28" s="185">
        <f t="shared" si="2"/>
        <v>2490.75</v>
      </c>
      <c r="G28" s="185">
        <f>J28+Y28+AB28+AE28+AH28+AN28+AT28+BF28+AK28+BR28+BO28+AZ28+M28+S28+P28+V28+AQ28</f>
        <v>673.71008000000006</v>
      </c>
      <c r="H28" s="187">
        <f>G28/F28*100</f>
        <v>27.048482585566596</v>
      </c>
      <c r="I28" s="195">
        <f>Яра!C6</f>
        <v>91.5</v>
      </c>
      <c r="J28" s="195">
        <f>Яра!D6</f>
        <v>68.206090000000003</v>
      </c>
      <c r="K28" s="187">
        <f t="shared" si="16"/>
        <v>74.542174863387984</v>
      </c>
      <c r="L28" s="187">
        <f>Яра!C8</f>
        <v>273.13</v>
      </c>
      <c r="M28" s="187">
        <f>Яра!D8</f>
        <v>153.38209000000001</v>
      </c>
      <c r="N28" s="184">
        <f t="shared" si="17"/>
        <v>56.157174239373198</v>
      </c>
      <c r="O28" s="184">
        <f>Яра!C9</f>
        <v>2.93</v>
      </c>
      <c r="P28" s="184">
        <f>Яра!D9</f>
        <v>1.1628099999999999</v>
      </c>
      <c r="Q28" s="184">
        <f t="shared" si="18"/>
        <v>39.686348122866889</v>
      </c>
      <c r="R28" s="184">
        <f>Яра!C10</f>
        <v>456.19</v>
      </c>
      <c r="S28" s="184">
        <f>Яра!D10</f>
        <v>231.24493000000001</v>
      </c>
      <c r="T28" s="184">
        <f t="shared" si="19"/>
        <v>50.690486420131961</v>
      </c>
      <c r="U28" s="184">
        <f>Яра!C11</f>
        <v>0</v>
      </c>
      <c r="V28" s="184">
        <f>Яра!D11</f>
        <v>-31.86825</v>
      </c>
      <c r="W28" s="184" t="e">
        <f t="shared" si="20"/>
        <v>#DIV/0!</v>
      </c>
      <c r="X28" s="195">
        <f>Яра!C13</f>
        <v>15</v>
      </c>
      <c r="Y28" s="195">
        <f>Яра!D13</f>
        <v>21.3873</v>
      </c>
      <c r="Z28" s="187">
        <f t="shared" si="21"/>
        <v>142.58200000000002</v>
      </c>
      <c r="AA28" s="195">
        <f>Яра!C15</f>
        <v>155</v>
      </c>
      <c r="AB28" s="195">
        <f>Яра!D15</f>
        <v>9.0942100000000003</v>
      </c>
      <c r="AC28" s="187">
        <f t="shared" si="22"/>
        <v>5.867232258064516</v>
      </c>
      <c r="AD28" s="195">
        <f>Яра!C16</f>
        <v>1450</v>
      </c>
      <c r="AE28" s="195">
        <f>Яра!D16</f>
        <v>129.94710000000001</v>
      </c>
      <c r="AF28" s="187">
        <f t="shared" si="4"/>
        <v>8.9618689655172421</v>
      </c>
      <c r="AG28" s="187">
        <f>Яра!C18</f>
        <v>12</v>
      </c>
      <c r="AH28" s="187">
        <f>Яра!D18</f>
        <v>11.257210000000001</v>
      </c>
      <c r="AI28" s="187">
        <f t="shared" si="23"/>
        <v>93.810083333333338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7.92056</v>
      </c>
      <c r="AR28" s="187">
        <f t="shared" si="24"/>
        <v>26.401866666666667</v>
      </c>
      <c r="AS28" s="188">
        <f>Яра!C28</f>
        <v>5</v>
      </c>
      <c r="AT28" s="195">
        <f>Яра!D28</f>
        <v>53.003459999999997</v>
      </c>
      <c r="AU28" s="187">
        <f t="shared" si="25"/>
        <v>1060.0691999999999</v>
      </c>
      <c r="AV28" s="195"/>
      <c r="AW28" s="195"/>
      <c r="AX28" s="187" t="e">
        <f t="shared" si="26"/>
        <v>#DIV/0!</v>
      </c>
      <c r="AY28" s="187">
        <f>Яра!C31</f>
        <v>0</v>
      </c>
      <c r="AZ28" s="187">
        <f>Яра!D31</f>
        <v>19.015550000000001</v>
      </c>
      <c r="BA28" s="187" t="e">
        <f t="shared" si="27"/>
        <v>#DIV/0!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72">
        <f>Яра!D35</f>
        <v>0</v>
      </c>
      <c r="BP28" s="187" t="e">
        <f t="shared" si="30"/>
        <v>#DIV/0!</v>
      </c>
      <c r="BQ28" s="187">
        <f>Яра!C37</f>
        <v>0</v>
      </c>
      <c r="BR28" s="187">
        <f>Яра!D37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6051.4340000000002</v>
      </c>
      <c r="CA28" s="359">
        <f t="shared" si="35"/>
        <v>1870.309</v>
      </c>
      <c r="CB28" s="187">
        <f t="shared" si="53"/>
        <v>30.906872652002814</v>
      </c>
      <c r="CC28" s="187">
        <f>Яра!C42</f>
        <v>1821.173</v>
      </c>
      <c r="CD28" s="187">
        <f>Яра!D42</f>
        <v>1052.8399999999999</v>
      </c>
      <c r="CE28" s="187">
        <f t="shared" si="36"/>
        <v>57.811092081861524</v>
      </c>
      <c r="CF28" s="187">
        <f>Яра!C43</f>
        <v>70</v>
      </c>
      <c r="CG28" s="187">
        <f>Яра!D43</f>
        <v>0</v>
      </c>
      <c r="CH28" s="187">
        <f t="shared" si="37"/>
        <v>0</v>
      </c>
      <c r="CI28" s="187">
        <f>Яра!C44</f>
        <v>3340.65</v>
      </c>
      <c r="CJ28" s="187">
        <f>Яра!D44</f>
        <v>79.432000000000002</v>
      </c>
      <c r="CK28" s="187">
        <f t="shared" si="7"/>
        <v>2.3777408588149012</v>
      </c>
      <c r="CL28" s="187">
        <f>Яра!C45</f>
        <v>155.91800000000001</v>
      </c>
      <c r="CM28" s="187">
        <f>Яра!D45</f>
        <v>74.343999999999994</v>
      </c>
      <c r="CN28" s="187">
        <f t="shared" si="8"/>
        <v>47.68147359509485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663.69299999999998</v>
      </c>
      <c r="CT28" s="187">
        <f t="shared" si="9"/>
        <v>100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10740.769329999999</v>
      </c>
      <c r="DH28" s="377">
        <f t="shared" si="39"/>
        <v>2942.00027</v>
      </c>
      <c r="DI28" s="187">
        <f t="shared" si="40"/>
        <v>27.390964088416936</v>
      </c>
      <c r="DJ28" s="195">
        <f t="shared" si="41"/>
        <v>1306.498</v>
      </c>
      <c r="DK28" s="195">
        <f t="shared" si="41"/>
        <v>582.44655</v>
      </c>
      <c r="DL28" s="187">
        <f t="shared" si="42"/>
        <v>44.580745626858977</v>
      </c>
      <c r="DM28" s="187">
        <f>Яра!C59</f>
        <v>1283.673</v>
      </c>
      <c r="DN28" s="187">
        <f>Яра!D59</f>
        <v>565.63954999999999</v>
      </c>
      <c r="DO28" s="187">
        <f t="shared" si="43"/>
        <v>44.064146398654486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17.824999999999999</v>
      </c>
      <c r="DW28" s="187">
        <f>Яра!D64</f>
        <v>16.806999999999999</v>
      </c>
      <c r="DX28" s="187">
        <f t="shared" si="46"/>
        <v>94.288920056100977</v>
      </c>
      <c r="DY28" s="187">
        <f>Яра!C66</f>
        <v>150.88</v>
      </c>
      <c r="DZ28" s="187">
        <f>Яра!D65</f>
        <v>68.358230000000006</v>
      </c>
      <c r="EA28" s="187">
        <f t="shared" si="47"/>
        <v>45.30635604453871</v>
      </c>
      <c r="EB28" s="187">
        <f>Яра!C67</f>
        <v>60</v>
      </c>
      <c r="EC28" s="187">
        <f>Яра!D67</f>
        <v>4.9749999999999996</v>
      </c>
      <c r="ED28" s="187">
        <f t="shared" si="48"/>
        <v>8.2916666666666661</v>
      </c>
      <c r="EE28" s="195">
        <f>Яра!C73</f>
        <v>5706.0013300000001</v>
      </c>
      <c r="EF28" s="195">
        <f>Яра!D73</f>
        <v>310.72402</v>
      </c>
      <c r="EG28" s="187">
        <f t="shared" si="49"/>
        <v>5.4455651520151322</v>
      </c>
      <c r="EH28" s="195">
        <f>Яра!C78</f>
        <v>476.375</v>
      </c>
      <c r="EI28" s="195">
        <f>Яра!D78</f>
        <v>239.56307000000001</v>
      </c>
      <c r="EJ28" s="187">
        <f t="shared" si="50"/>
        <v>50.288757806350034</v>
      </c>
      <c r="EK28" s="195">
        <f>Яра!C82</f>
        <v>2982.0149999999999</v>
      </c>
      <c r="EL28" s="197">
        <f>Яра!D82</f>
        <v>1705.3824</v>
      </c>
      <c r="EM28" s="187">
        <f t="shared" si="10"/>
        <v>57.188927621088425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59</v>
      </c>
      <c r="ER28" s="198">
        <f>Яра!D89</f>
        <v>30.550999999999998</v>
      </c>
      <c r="ES28" s="187">
        <f t="shared" si="51"/>
        <v>51.78135593220339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-2198.5853299999981</v>
      </c>
      <c r="EX28" s="191">
        <f t="shared" si="13"/>
        <v>-397.98118999999997</v>
      </c>
      <c r="EY28" s="184">
        <f t="shared" si="54"/>
        <v>18.101694056150201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5391.348</v>
      </c>
      <c r="D29" s="375">
        <f t="shared" si="0"/>
        <v>1594.9290799999999</v>
      </c>
      <c r="E29" s="184">
        <f t="shared" si="1"/>
        <v>29.583122439879599</v>
      </c>
      <c r="F29" s="185">
        <f t="shared" si="2"/>
        <v>1800.1619999999998</v>
      </c>
      <c r="G29" s="185">
        <f t="shared" si="3"/>
        <v>376.45808</v>
      </c>
      <c r="H29" s="184">
        <f t="shared" si="15"/>
        <v>20.912455656768671</v>
      </c>
      <c r="I29" s="186">
        <f>Яро!C6</f>
        <v>91.6</v>
      </c>
      <c r="J29" s="195">
        <f>Яро!D6</f>
        <v>54.864519999999999</v>
      </c>
      <c r="K29" s="184">
        <f t="shared" si="16"/>
        <v>59.895764192139744</v>
      </c>
      <c r="L29" s="184">
        <f>Яро!C8</f>
        <v>156.87</v>
      </c>
      <c r="M29" s="184">
        <f>Яро!D8</f>
        <v>88.094080000000005</v>
      </c>
      <c r="N29" s="184">
        <f t="shared" si="17"/>
        <v>56.157378721234139</v>
      </c>
      <c r="O29" s="184">
        <f>Яро!C9</f>
        <v>1.68</v>
      </c>
      <c r="P29" s="184">
        <f>Яро!D9</f>
        <v>0.66781999999999997</v>
      </c>
      <c r="Q29" s="184">
        <f t="shared" si="18"/>
        <v>39.751190476190473</v>
      </c>
      <c r="R29" s="184">
        <f>Яро!C10</f>
        <v>262.01</v>
      </c>
      <c r="S29" s="184">
        <f>Яро!D10</f>
        <v>132.81415000000001</v>
      </c>
      <c r="T29" s="184">
        <f t="shared" si="19"/>
        <v>50.69048891263693</v>
      </c>
      <c r="U29" s="184">
        <f>Яро!C11</f>
        <v>0</v>
      </c>
      <c r="V29" s="184">
        <f>Яро!D11</f>
        <v>-18.303239999999999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14.23786</v>
      </c>
      <c r="AC29" s="184">
        <f t="shared" si="22"/>
        <v>6.0586638297872337</v>
      </c>
      <c r="AD29" s="186">
        <f>Яро!C16</f>
        <v>990</v>
      </c>
      <c r="AE29" s="186">
        <f>Яро!D16</f>
        <v>100.59296999999999</v>
      </c>
      <c r="AF29" s="184">
        <f t="shared" si="4"/>
        <v>10.160906060606061</v>
      </c>
      <c r="AG29" s="184">
        <f>Яро!C18</f>
        <v>8.0020000000000007</v>
      </c>
      <c r="AH29" s="184">
        <f>Яро!D18</f>
        <v>3.1309999999999998</v>
      </c>
      <c r="AI29" s="184">
        <f t="shared" si="23"/>
        <v>39.127718070482373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50</v>
      </c>
      <c r="AQ29" s="186">
        <f>Яро!D27</f>
        <v>0.25512000000000001</v>
      </c>
      <c r="AR29" s="184">
        <f t="shared" si="24"/>
        <v>0.51024000000000003</v>
      </c>
      <c r="AS29" s="188">
        <v>0</v>
      </c>
      <c r="AT29" s="186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3591.1859999999997</v>
      </c>
      <c r="CA29" s="359">
        <f t="shared" si="35"/>
        <v>1218.471</v>
      </c>
      <c r="CB29" s="184">
        <f t="shared" si="53"/>
        <v>33.92948736155688</v>
      </c>
      <c r="CC29" s="187">
        <f>Яро!C39</f>
        <v>975.07100000000003</v>
      </c>
      <c r="CD29" s="187">
        <f>Яро!D39</f>
        <v>592.18700000000001</v>
      </c>
      <c r="CE29" s="184">
        <f t="shared" si="36"/>
        <v>60.732705618360093</v>
      </c>
      <c r="CF29" s="184">
        <f>Яро!C40</f>
        <v>584</v>
      </c>
      <c r="CG29" s="184">
        <f>Яро!D40</f>
        <v>296.5</v>
      </c>
      <c r="CH29" s="184">
        <f t="shared" si="37"/>
        <v>50.770547945205479</v>
      </c>
      <c r="CI29" s="184">
        <f>Яро!C41</f>
        <v>1703.097</v>
      </c>
      <c r="CJ29" s="184">
        <f>Яро!D41</f>
        <v>46.32</v>
      </c>
      <c r="CK29" s="184">
        <f t="shared" si="7"/>
        <v>2.7197511357250939</v>
      </c>
      <c r="CL29" s="184">
        <f>Яро!C42</f>
        <v>74.096000000000004</v>
      </c>
      <c r="CM29" s="184">
        <f>Яро!D42</f>
        <v>35.542000000000002</v>
      </c>
      <c r="CN29" s="184">
        <f t="shared" si="8"/>
        <v>47.967501619520618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5445.0078700000004</v>
      </c>
      <c r="DH29" s="204">
        <f t="shared" si="39"/>
        <v>1551.6598800000002</v>
      </c>
      <c r="DI29" s="184">
        <f t="shared" si="40"/>
        <v>28.496926304718091</v>
      </c>
      <c r="DJ29" s="186">
        <f t="shared" si="41"/>
        <v>1266.1849999999999</v>
      </c>
      <c r="DK29" s="186">
        <f t="shared" si="41"/>
        <v>570.99287000000004</v>
      </c>
      <c r="DL29" s="184">
        <f t="shared" si="42"/>
        <v>45.09553264333411</v>
      </c>
      <c r="DM29" s="184">
        <f>Яро!C55</f>
        <v>1257.971</v>
      </c>
      <c r="DN29" s="184">
        <f>Яро!D55</f>
        <v>567.77886999999998</v>
      </c>
      <c r="DO29" s="184">
        <f t="shared" si="43"/>
        <v>45.134495946249956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3.214</v>
      </c>
      <c r="DW29" s="184">
        <f>Яро!D60</f>
        <v>3.214</v>
      </c>
      <c r="DX29" s="184">
        <f t="shared" si="46"/>
        <v>100</v>
      </c>
      <c r="DY29" s="184">
        <f>Яро!C61</f>
        <v>70.596000000000004</v>
      </c>
      <c r="DZ29" s="184">
        <f>Яро!D61</f>
        <v>31.651309999999999</v>
      </c>
      <c r="EA29" s="184">
        <f t="shared" si="47"/>
        <v>44.834424046688191</v>
      </c>
      <c r="EB29" s="184">
        <f>Яро!C63</f>
        <v>30.7</v>
      </c>
      <c r="EC29" s="184">
        <f>Яро!D63</f>
        <v>3.6059999999999999</v>
      </c>
      <c r="ED29" s="184">
        <f t="shared" si="48"/>
        <v>11.745928338762216</v>
      </c>
      <c r="EE29" s="186">
        <f>Яро!C68</f>
        <v>2067.6508699999999</v>
      </c>
      <c r="EF29" s="186">
        <f>Яро!D68</f>
        <v>433.72226000000001</v>
      </c>
      <c r="EG29" s="184">
        <f t="shared" si="49"/>
        <v>20.976571349301345</v>
      </c>
      <c r="EH29" s="186">
        <f>Яро!C73</f>
        <v>460.37599999999998</v>
      </c>
      <c r="EI29" s="186">
        <f>Яро!D73</f>
        <v>74.672439999999995</v>
      </c>
      <c r="EJ29" s="184">
        <f t="shared" si="50"/>
        <v>16.219881140632875</v>
      </c>
      <c r="EK29" s="186">
        <f>Яро!C78</f>
        <v>1544.5</v>
      </c>
      <c r="EL29" s="190">
        <f>Яро!D77</f>
        <v>435</v>
      </c>
      <c r="EM29" s="184">
        <f t="shared" si="10"/>
        <v>28.164454516024602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-53.65987000000041</v>
      </c>
      <c r="EX29" s="191">
        <f t="shared" si="13"/>
        <v>43.269199999999728</v>
      </c>
      <c r="EY29" s="184">
        <f t="shared" si="54"/>
        <v>-80.636050739592548</v>
      </c>
      <c r="EZ29" s="192"/>
      <c r="FA29" s="193"/>
      <c r="FC29" s="193"/>
    </row>
    <row r="30" spans="1:170" s="169" customFormat="1" ht="17.25" customHeight="1">
      <c r="A30" s="202"/>
      <c r="B30" s="203"/>
      <c r="C30" s="183"/>
      <c r="D30" s="293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186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4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3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6" customFormat="1" ht="17.25" customHeight="1">
      <c r="A31" s="437" t="s">
        <v>180</v>
      </c>
      <c r="B31" s="438"/>
      <c r="C31" s="294">
        <f>SUM(C14:C29)</f>
        <v>101300.32939</v>
      </c>
      <c r="D31" s="294">
        <f>SUM(D14:D29)</f>
        <v>35772.129390000002</v>
      </c>
      <c r="E31" s="205">
        <f>D31/C31*100</f>
        <v>35.312944790415749</v>
      </c>
      <c r="F31" s="237">
        <f>SUM(F14:F29)</f>
        <v>37183.641999999993</v>
      </c>
      <c r="G31" s="236">
        <f>SUM(G14:G29)</f>
        <v>11224.61074</v>
      </c>
      <c r="H31" s="239">
        <f>G31/F31*100</f>
        <v>30.18695893210246</v>
      </c>
      <c r="I31" s="236">
        <f>SUM(I14:I29)</f>
        <v>5106.9000000000005</v>
      </c>
      <c r="J31" s="236">
        <f>SUM(J14:J29)</f>
        <v>2355.0550600000001</v>
      </c>
      <c r="K31" s="239">
        <f>J31/I31*100</f>
        <v>46.115159098474614</v>
      </c>
      <c r="L31" s="239">
        <f>SUM(L14:L29)</f>
        <v>3005.21</v>
      </c>
      <c r="M31" s="239">
        <f>SUM(M14:M29)</f>
        <v>1687.6502200000002</v>
      </c>
      <c r="N31" s="239">
        <f>M31/L31*100</f>
        <v>56.15748050884963</v>
      </c>
      <c r="O31" s="239">
        <f>SUM(O14:O29)</f>
        <v>32.24</v>
      </c>
      <c r="P31" s="239">
        <f>SUM(P14:P29)</f>
        <v>12.793970000000002</v>
      </c>
      <c r="Q31" s="239">
        <f>P31/O31*100</f>
        <v>39.683529776674945</v>
      </c>
      <c r="R31" s="239">
        <f>SUM(R14:R29)</f>
        <v>5019.3900000000003</v>
      </c>
      <c r="S31" s="239">
        <f>SUM(S14:S29)</f>
        <v>2544.3684399999993</v>
      </c>
      <c r="T31" s="239">
        <f>S31/R31*100</f>
        <v>50.690789916703004</v>
      </c>
      <c r="U31" s="239">
        <f>SUM(U14:U29)</f>
        <v>0</v>
      </c>
      <c r="V31" s="239">
        <f>SUM(V14:V29)</f>
        <v>-350.64349999999996</v>
      </c>
      <c r="W31" s="239" t="e">
        <f>V31/U31*100</f>
        <v>#DIV/0!</v>
      </c>
      <c r="X31" s="236">
        <f>SUM(X14:X29)</f>
        <v>380</v>
      </c>
      <c r="Y31" s="236">
        <f>SUM(Y14:Y29)</f>
        <v>380.20848999999998</v>
      </c>
      <c r="Z31" s="239">
        <f>Y31/X31*100</f>
        <v>100.05486578947369</v>
      </c>
      <c r="AA31" s="236">
        <f>SUM(AA14:AA29)</f>
        <v>2833.4</v>
      </c>
      <c r="AB31" s="236">
        <f>SUM(AB14:AB29)</f>
        <v>212.96161999999998</v>
      </c>
      <c r="AC31" s="239">
        <f>AB31/AA31*100</f>
        <v>7.5161156208089217</v>
      </c>
      <c r="AD31" s="236">
        <f>SUM(AD14:AD29)</f>
        <v>17689.2</v>
      </c>
      <c r="AE31" s="236">
        <f>SUM(AE14:AE29)</f>
        <v>3015.3979300000005</v>
      </c>
      <c r="AF31" s="239">
        <f>AE31/AD31*100</f>
        <v>17.046547780566677</v>
      </c>
      <c r="AG31" s="374">
        <f>SUM(AG14:AG29)</f>
        <v>150.00200000000001</v>
      </c>
      <c r="AH31" s="239">
        <f>SUM(AH14:AH29)</f>
        <v>87.833210000000008</v>
      </c>
      <c r="AI31" s="184">
        <f t="shared" si="23"/>
        <v>58.554692604098612</v>
      </c>
      <c r="AJ31" s="236">
        <f>AJ14+AJ15+AJ16+AJ17+AJ18+AJ19+AJ20+AJ21+AJ22+AJ23+AJ24+AJ25+AJ26+AJ27+AJ28+AJ29</f>
        <v>0</v>
      </c>
      <c r="AK31" s="236">
        <f>AK14+AK15+AK16+AK17+AK18+AK19+AK20+AK21+AK22+AK23+AK24+AK25+AK26+AK27+AK28+AK29</f>
        <v>0</v>
      </c>
      <c r="AL31" s="184" t="e">
        <f>AK31/AJ31*100</f>
        <v>#DIV/0!</v>
      </c>
      <c r="AM31" s="236">
        <f>SUM(AM14:AM29)</f>
        <v>0</v>
      </c>
      <c r="AN31" s="236">
        <f>SUM(AN14:AN29)</f>
        <v>0</v>
      </c>
      <c r="AO31" s="239" t="e">
        <f>AN31/AM31*100</f>
        <v>#DIV/0!</v>
      </c>
      <c r="AP31" s="236">
        <f>SUM(AP14:AP29)</f>
        <v>1521.3</v>
      </c>
      <c r="AQ31" s="236">
        <f>SUM(AQ14:AQ29)</f>
        <v>26.885600000000007</v>
      </c>
      <c r="AR31" s="239">
        <f>AQ31/AP31*100</f>
        <v>1.7672779859330843</v>
      </c>
      <c r="AS31" s="236">
        <f>SUM(AS14:AS29)</f>
        <v>300</v>
      </c>
      <c r="AT31" s="236">
        <f>SUM(AT14:AT29)</f>
        <v>200.59985999999998</v>
      </c>
      <c r="AU31" s="239">
        <f>AT31/AS31*100</f>
        <v>66.866619999999983</v>
      </c>
      <c r="AV31" s="236">
        <f>SUM(AV14:AV29)</f>
        <v>0</v>
      </c>
      <c r="AW31" s="236">
        <f>SUM(AW14:AW29)</f>
        <v>0</v>
      </c>
      <c r="AX31" s="239" t="e">
        <f>AW31/AV31*100</f>
        <v>#DIV/0!</v>
      </c>
      <c r="AY31" s="239">
        <f>SUM(AY14:AY29)</f>
        <v>560</v>
      </c>
      <c r="AZ31" s="239">
        <f>SUM(AZ14:AZ29)</f>
        <v>525.49865999999997</v>
      </c>
      <c r="BA31" s="184">
        <f t="shared" si="27"/>
        <v>93.839046428571422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7">
        <f>SUM(BE14:BE29)</f>
        <v>586</v>
      </c>
      <c r="BF31" s="236">
        <f>SUM(BF14:BF29)</f>
        <v>591.20000000000005</v>
      </c>
      <c r="BG31" s="236">
        <f t="shared" si="28"/>
        <v>100.88737201365188</v>
      </c>
      <c r="BH31" s="236">
        <f>SUM(BH14:BH29)</f>
        <v>0</v>
      </c>
      <c r="BI31" s="236">
        <f>SUM(BI14:BI29)</f>
        <v>0</v>
      </c>
      <c r="BJ31" s="239" t="e">
        <f>BI31/BH31*100</f>
        <v>#DIV/0!</v>
      </c>
      <c r="BK31" s="239">
        <f>SUM(BK14:BK29)</f>
        <v>0</v>
      </c>
      <c r="BL31" s="239">
        <f>BL15+BL27+BL28+BL19+BL22+BL26+BL18</f>
        <v>0</v>
      </c>
      <c r="BM31" s="239" t="e">
        <f>BL31/BK31*100</f>
        <v>#DIV/0!</v>
      </c>
      <c r="BN31" s="239">
        <f>BN14+BN15+BN16+BN17+BN18+BN19+BN20+BN21+BN22+BN23+BN24+BN25+BN26+BN27+BN28+BN29</f>
        <v>0</v>
      </c>
      <c r="BO31" s="239">
        <f>BO14+BO15+BO16+BO17+BO18+BO19+BO20+BO21+BO22+BO23+BO24+BO25+BO26+BO27+BO28+BO29</f>
        <v>8.7899999999999992E-3</v>
      </c>
      <c r="BP31" s="239" t="e">
        <f>BO31/BN31*100</f>
        <v>#DIV/0!</v>
      </c>
      <c r="BQ31" s="236">
        <f>SUM(BQ14:BQ29)</f>
        <v>0</v>
      </c>
      <c r="BR31" s="370">
        <f>SUM(BR14:BR29)</f>
        <v>-65.207610000000003</v>
      </c>
      <c r="BS31" s="239" t="e">
        <f>BR31/BQ31*100</f>
        <v>#DIV/0!</v>
      </c>
      <c r="BT31" s="239">
        <f t="shared" ref="BT31:BY31" si="55">SUM(BT14:BT29)</f>
        <v>0</v>
      </c>
      <c r="BU31" s="239"/>
      <c r="BV31" s="239" t="e">
        <f t="shared" si="55"/>
        <v>#DIV/0!</v>
      </c>
      <c r="BW31" s="239">
        <f t="shared" si="55"/>
        <v>0</v>
      </c>
      <c r="BX31" s="239">
        <f t="shared" si="55"/>
        <v>0</v>
      </c>
      <c r="BY31" s="296" t="e">
        <f t="shared" si="55"/>
        <v>#DIV/0!</v>
      </c>
      <c r="BZ31" s="237">
        <f>SUM(BZ14:BZ29)</f>
        <v>64116.687390000006</v>
      </c>
      <c r="CA31" s="236">
        <f>SUM(CA14:CA29)</f>
        <v>24547.518650000002</v>
      </c>
      <c r="CB31" s="236">
        <f t="shared" si="53"/>
        <v>38.285693864197626</v>
      </c>
      <c r="CC31" s="236">
        <f>SUM(CC14:CC29)</f>
        <v>28718.623999999996</v>
      </c>
      <c r="CD31" s="236">
        <f>SUM(CD14:CD29)</f>
        <v>17742.400000000001</v>
      </c>
      <c r="CE31" s="236">
        <f>CD31/CC31*100</f>
        <v>61.780118713208552</v>
      </c>
      <c r="CF31" s="237">
        <f>SUM(CF14:CF29)</f>
        <v>4979.5749999999998</v>
      </c>
      <c r="CG31" s="236">
        <f>SUM(CG14:CG29)</f>
        <v>1733.5</v>
      </c>
      <c r="CH31" s="236">
        <f>CG31/CF31*100</f>
        <v>34.81220786914546</v>
      </c>
      <c r="CI31" s="236">
        <f>SUM(CI14:CI29)</f>
        <v>25373.917390000002</v>
      </c>
      <c r="CJ31" s="236">
        <f>SUM(CJ14:CJ29)</f>
        <v>1657.6770000000001</v>
      </c>
      <c r="CK31" s="236">
        <f>CJ31/CI31*100</f>
        <v>6.5329959679513241</v>
      </c>
      <c r="CL31" s="236">
        <f>SUM(CL14:CL29)</f>
        <v>1856.7999999999997</v>
      </c>
      <c r="CM31" s="236">
        <f>SUM(CM14:CM29)</f>
        <v>882.37000000000023</v>
      </c>
      <c r="CN31" s="236">
        <f t="shared" si="8"/>
        <v>47.521003877638968</v>
      </c>
      <c r="CO31" s="236">
        <f>SUM(CO14:CO29)</f>
        <v>0</v>
      </c>
      <c r="CP31" s="236">
        <f>SUM(CP14:CP29)</f>
        <v>0</v>
      </c>
      <c r="CQ31" s="236" t="e">
        <f>CP31/CO31*100</f>
        <v>#DIV/0!</v>
      </c>
      <c r="CR31" s="236">
        <f>SUM(CR14:CR29)</f>
        <v>3187.7709999999993</v>
      </c>
      <c r="CS31" s="236">
        <f>SUM(CS14:CS29)</f>
        <v>2898.5408899999998</v>
      </c>
      <c r="CT31" s="236">
        <f t="shared" si="9"/>
        <v>90.926885588707606</v>
      </c>
      <c r="CU31" s="236">
        <f>SUM(CU14:CU29)</f>
        <v>0</v>
      </c>
      <c r="CV31" s="236">
        <f>SUM(CV14:CV29)</f>
        <v>-366.96924000000001</v>
      </c>
      <c r="CW31" s="236" t="e">
        <f>CV31/CU31*100</f>
        <v>#DIV/0!</v>
      </c>
      <c r="CX31" s="236">
        <f>SUM(CX14:CX29)</f>
        <v>0</v>
      </c>
      <c r="CY31" s="236">
        <f>SUM(CY14:CY29)</f>
        <v>0</v>
      </c>
      <c r="CZ31" s="239" t="e">
        <f>CY31/CX31*100</f>
        <v>#DIV/0!</v>
      </c>
      <c r="DA31" s="239">
        <f>DA14+DA15+DA16+DA17+DA18+DA19+DA20+DA21+DA22+DA23+DA24+DA25+DA26+DA27+DA28+DA29</f>
        <v>0</v>
      </c>
      <c r="DB31" s="239">
        <f>DB14+DB15+DB16+DB17+DB18+DB19+DB20+DB21+DB22+DB23+DB24+DB25+DB26+DB27+DB28+DB29</f>
        <v>0</v>
      </c>
      <c r="DC31" s="239" t="e">
        <f>DB31/DA31*100</f>
        <v>#DIV/0!</v>
      </c>
      <c r="DD31" s="239">
        <f>DD14+DD15+DD16+DD17+DD18+DD19+DD20+DD21+DD22+DD23+DD24+DD25+DD26+DD27+DD28+DD29</f>
        <v>0</v>
      </c>
      <c r="DE31" s="239">
        <f>DE14+DE15+DE16+DE17+DE18+DE19+DE20+DE21+DE22+DE23+DE24+DE25+DE26+DE27+DE28+DE29</f>
        <v>0</v>
      </c>
      <c r="DF31" s="239">
        <v>0</v>
      </c>
      <c r="DG31" s="237">
        <f>SUM(DG14:DG29)</f>
        <v>106693.64585999998</v>
      </c>
      <c r="DH31" s="237">
        <f>SUM(DH14:DH29)</f>
        <v>35174.580859999995</v>
      </c>
      <c r="DI31" s="239">
        <f>DH31/DG31*100</f>
        <v>32.96783100481445</v>
      </c>
      <c r="DJ31" s="237">
        <f>SUM(DJ14:DJ29)</f>
        <v>22000.961500000001</v>
      </c>
      <c r="DK31" s="237">
        <f>SUM(DK14:DK29)</f>
        <v>9818.2052300000014</v>
      </c>
      <c r="DL31" s="239">
        <f>DK31/DJ31*100</f>
        <v>44.626255220709339</v>
      </c>
      <c r="DM31" s="236">
        <f>SUM(DM14:DM29)</f>
        <v>21781.298000000003</v>
      </c>
      <c r="DN31" s="237">
        <f>SUM(DN14:DN29)</f>
        <v>9710.4737700000005</v>
      </c>
      <c r="DO31" s="239">
        <f>DN31/DM31*100</f>
        <v>44.581703854380031</v>
      </c>
      <c r="DP31" s="236">
        <f>SUM(DP14:DP29)</f>
        <v>0</v>
      </c>
      <c r="DQ31" s="236">
        <f>SUM(DQ14:DQ29)</f>
        <v>0</v>
      </c>
      <c r="DR31" s="239" t="e">
        <f>DQ31/DP31*100</f>
        <v>#DIV/0!</v>
      </c>
      <c r="DS31" s="254">
        <f>SUM(DS14:DS29)</f>
        <v>101.01</v>
      </c>
      <c r="DT31" s="239">
        <f>SUM(DT14:DT29)</f>
        <v>0</v>
      </c>
      <c r="DU31" s="239">
        <f>DT31/DS31*100</f>
        <v>0</v>
      </c>
      <c r="DV31" s="239">
        <f>SUM(DV14:DV29)</f>
        <v>118.65349999999998</v>
      </c>
      <c r="DW31" s="239">
        <f>SUM(DW14:DW29)</f>
        <v>107.73146</v>
      </c>
      <c r="DX31" s="184">
        <f>DW31/DV31*100</f>
        <v>90.795012367945333</v>
      </c>
      <c r="DY31" s="239">
        <f>SUM(DY14:DY29)</f>
        <v>1781.5</v>
      </c>
      <c r="DZ31" s="254">
        <f>SUM(DZ14:DZ29)</f>
        <v>786.36878999999999</v>
      </c>
      <c r="EA31" s="236">
        <f t="shared" si="47"/>
        <v>44.140824586023015</v>
      </c>
      <c r="EB31" s="254">
        <f>SUM(EB14:EB29)</f>
        <v>226.7655</v>
      </c>
      <c r="EC31" s="254">
        <f>SUM(EC14:EC29)</f>
        <v>21.401000000000003</v>
      </c>
      <c r="ED31" s="184">
        <f t="shared" si="48"/>
        <v>9.4375026183436219</v>
      </c>
      <c r="EE31" s="236">
        <f>SUM(EE14:EE29)</f>
        <v>34917.544470000001</v>
      </c>
      <c r="EF31" s="237">
        <f>SUM(EF14:EF29)</f>
        <v>7142.7572199999995</v>
      </c>
      <c r="EG31" s="239">
        <f>EF31/EE31*100</f>
        <v>20.456069659012879</v>
      </c>
      <c r="EH31" s="236">
        <f>SUM(EH14:EH29)</f>
        <v>18602.026389999999</v>
      </c>
      <c r="EI31" s="237">
        <f>SUM(EI14:EI29)</f>
        <v>4708.5914700000012</v>
      </c>
      <c r="EJ31" s="239">
        <f>EI31/EH31*100</f>
        <v>25.312250242431794</v>
      </c>
      <c r="EK31" s="237">
        <f>SUM(EK14:EK29)</f>
        <v>28924.545999999998</v>
      </c>
      <c r="EL31" s="237">
        <f>SUM(EL14:EL29)</f>
        <v>12597.908149999999</v>
      </c>
      <c r="EM31" s="239">
        <f>EL31/EK31*100</f>
        <v>43.554385088706319</v>
      </c>
      <c r="EN31" s="237">
        <f>SUM(EN14:EN29)</f>
        <v>10</v>
      </c>
      <c r="EO31" s="237">
        <f>SUM(EO14:EO29)</f>
        <v>10</v>
      </c>
      <c r="EP31" s="239">
        <f>EO31/EN31*100</f>
        <v>100</v>
      </c>
      <c r="EQ31" s="236">
        <f>SUM(EQ14:EQ29)</f>
        <v>230.30199999999999</v>
      </c>
      <c r="ER31" s="236">
        <f>SUM(ER14:ER29)</f>
        <v>89.349000000000004</v>
      </c>
      <c r="ES31" s="239">
        <f>ER31/EQ31*100</f>
        <v>38.796449878854723</v>
      </c>
      <c r="ET31" s="239">
        <f>SUM(ET14:ET29)</f>
        <v>0</v>
      </c>
      <c r="EU31" s="295">
        <f>SUM(EU14:EU29)</f>
        <v>0</v>
      </c>
      <c r="EV31" s="184" t="e">
        <f>EU31/ET31*100</f>
        <v>#DIV/0!</v>
      </c>
      <c r="EW31" s="254">
        <f>SUM(EW14:EW29)</f>
        <v>-5393.3164699999952</v>
      </c>
      <c r="EX31" s="239">
        <f>SUM(EX14:EX29)</f>
        <v>597.54852999999912</v>
      </c>
      <c r="EY31" s="184">
        <f>EX31/EW31*100</f>
        <v>-11.079426422013757</v>
      </c>
    </row>
    <row r="32" spans="1:170" ht="0.75" customHeight="1">
      <c r="C32" s="207">
        <v>85422.769</v>
      </c>
      <c r="D32" s="208">
        <v>6971.8725999999997</v>
      </c>
      <c r="F32" s="209">
        <v>29714</v>
      </c>
      <c r="G32" s="210">
        <v>2141.1016</v>
      </c>
      <c r="I32" s="210">
        <v>4023</v>
      </c>
      <c r="J32" s="210">
        <v>517.83318999999995</v>
      </c>
      <c r="L32" s="153">
        <v>2648.3</v>
      </c>
      <c r="M32" s="211">
        <v>275.27994000000001</v>
      </c>
      <c r="O32" s="153">
        <v>72.06</v>
      </c>
      <c r="P32" s="212">
        <v>5.5919400000000001</v>
      </c>
      <c r="R32" s="213">
        <v>5285.44</v>
      </c>
      <c r="S32" s="153">
        <v>437.64443</v>
      </c>
      <c r="V32" s="212">
        <v>-57.366509999999998</v>
      </c>
      <c r="X32" s="210">
        <v>450</v>
      </c>
      <c r="Y32" s="210">
        <v>50.572130000000001</v>
      </c>
      <c r="AA32" s="210">
        <v>1552</v>
      </c>
      <c r="AB32" s="210">
        <v>33.929760000000002</v>
      </c>
      <c r="AD32" s="210">
        <v>14314</v>
      </c>
      <c r="AE32" s="214">
        <v>765.26733999999999</v>
      </c>
      <c r="AG32" s="210">
        <v>264</v>
      </c>
      <c r="AH32" s="210">
        <v>28.45</v>
      </c>
      <c r="AJ32" s="210"/>
      <c r="AK32" s="214">
        <v>4.1130100000000001</v>
      </c>
      <c r="AM32" s="210">
        <v>2902</v>
      </c>
      <c r="AN32" s="210"/>
      <c r="AP32" s="153">
        <v>400</v>
      </c>
      <c r="AQ32" s="153">
        <v>102</v>
      </c>
      <c r="AS32" s="215">
        <v>325.2</v>
      </c>
      <c r="AT32" s="215">
        <v>34.62641</v>
      </c>
      <c r="AY32" s="212"/>
      <c r="AZ32" s="212"/>
      <c r="BC32" s="216"/>
      <c r="BE32" s="217">
        <v>380</v>
      </c>
      <c r="BF32" s="210">
        <v>0</v>
      </c>
      <c r="BH32" s="218"/>
      <c r="BI32" s="210"/>
      <c r="BL32" s="217"/>
      <c r="BN32" s="210"/>
      <c r="BO32" s="210">
        <v>20</v>
      </c>
      <c r="BQ32" s="213"/>
      <c r="BR32" s="215">
        <v>13.81555</v>
      </c>
      <c r="BZ32" s="219">
        <v>55708.769</v>
      </c>
      <c r="CA32" s="210">
        <v>4830.7709999999997</v>
      </c>
      <c r="CC32" s="217">
        <v>26193.4</v>
      </c>
      <c r="CD32" s="217">
        <v>4365.5829999999996</v>
      </c>
      <c r="CE32" s="215"/>
      <c r="CF32" s="219">
        <v>2800</v>
      </c>
      <c r="CG32" s="210">
        <v>0</v>
      </c>
      <c r="CH32" s="215"/>
      <c r="CI32" s="210">
        <v>20988.289000000001</v>
      </c>
      <c r="CJ32" s="210">
        <v>226.78800000000001</v>
      </c>
      <c r="CK32" s="215"/>
      <c r="CL32" s="210">
        <v>5727.08</v>
      </c>
      <c r="CM32" s="210">
        <v>238.4</v>
      </c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DA32" s="213"/>
      <c r="DB32" s="213"/>
      <c r="DD32" s="209"/>
      <c r="DE32" s="219">
        <v>0</v>
      </c>
      <c r="DG32" s="219">
        <v>86467.619000000006</v>
      </c>
      <c r="DH32" s="219">
        <v>8044.3139600000004</v>
      </c>
      <c r="DJ32" s="215">
        <v>18659.286</v>
      </c>
      <c r="DK32" s="209">
        <v>1993.6542099999999</v>
      </c>
      <c r="DM32" s="210">
        <v>18579.286</v>
      </c>
      <c r="DN32" s="210">
        <v>1993.6542099999999</v>
      </c>
      <c r="DP32" s="219"/>
      <c r="DQ32" s="217"/>
      <c r="DS32" s="210">
        <v>80</v>
      </c>
      <c r="DT32" s="210"/>
      <c r="DV32" s="210">
        <v>0</v>
      </c>
      <c r="DW32" s="219">
        <v>0</v>
      </c>
      <c r="DY32" s="209">
        <v>1682.5</v>
      </c>
      <c r="DZ32" s="209">
        <v>141.53659999999999</v>
      </c>
      <c r="EB32" s="210">
        <v>191.3</v>
      </c>
      <c r="EC32" s="219">
        <v>8.5</v>
      </c>
      <c r="EE32" s="215">
        <v>29388.388999999999</v>
      </c>
      <c r="EF32" s="209">
        <v>1077.7133699999999</v>
      </c>
      <c r="EH32" s="209">
        <v>15404.812</v>
      </c>
      <c r="EI32" s="209">
        <v>1328.9402500000001</v>
      </c>
      <c r="EK32" s="209">
        <v>24128.7</v>
      </c>
      <c r="EL32" s="209">
        <v>3489.1705299999999</v>
      </c>
      <c r="EN32" s="210">
        <v>0</v>
      </c>
      <c r="EO32" s="210">
        <v>0</v>
      </c>
      <c r="EQ32" s="210">
        <v>112</v>
      </c>
      <c r="ER32" s="220">
        <v>4.8</v>
      </c>
      <c r="ET32" s="210"/>
      <c r="EU32" s="210"/>
      <c r="EW32" s="215"/>
    </row>
    <row r="33" spans="3:155" ht="27" hidden="1" customHeight="1">
      <c r="C33" s="210">
        <f>C32-C31</f>
        <v>-15877.560389999999</v>
      </c>
      <c r="D33" s="210">
        <f t="shared" ref="D33:BO33" si="56">D32-D31</f>
        <v>-28800.256790000003</v>
      </c>
      <c r="E33" s="210"/>
      <c r="F33" s="210">
        <f t="shared" si="56"/>
        <v>-7469.6419999999925</v>
      </c>
      <c r="G33" s="210">
        <f t="shared" si="56"/>
        <v>-9083.5091400000001</v>
      </c>
      <c r="H33" s="210"/>
      <c r="I33" s="210">
        <f t="shared" si="56"/>
        <v>-1083.9000000000005</v>
      </c>
      <c r="J33" s="210">
        <f t="shared" si="56"/>
        <v>-1837.2218700000003</v>
      </c>
      <c r="K33" s="210"/>
      <c r="L33" s="210">
        <f t="shared" si="56"/>
        <v>-356.90999999999985</v>
      </c>
      <c r="M33" s="210">
        <f t="shared" si="56"/>
        <v>-1412.3702800000001</v>
      </c>
      <c r="N33" s="210"/>
      <c r="O33" s="210">
        <f t="shared" si="56"/>
        <v>39.82</v>
      </c>
      <c r="P33" s="210">
        <f t="shared" si="56"/>
        <v>-7.2020300000000015</v>
      </c>
      <c r="Q33" s="210"/>
      <c r="R33" s="210">
        <f t="shared" si="56"/>
        <v>266.04999999999927</v>
      </c>
      <c r="S33" s="210">
        <f t="shared" si="56"/>
        <v>-2106.7240099999995</v>
      </c>
      <c r="T33" s="210"/>
      <c r="U33" s="210">
        <f t="shared" si="56"/>
        <v>0</v>
      </c>
      <c r="V33" s="210">
        <f t="shared" si="56"/>
        <v>293.27698999999996</v>
      </c>
      <c r="W33" s="210" t="e">
        <f t="shared" si="56"/>
        <v>#DIV/0!</v>
      </c>
      <c r="X33" s="210">
        <f t="shared" si="56"/>
        <v>70</v>
      </c>
      <c r="Y33" s="210">
        <f t="shared" si="56"/>
        <v>-329.63635999999997</v>
      </c>
      <c r="Z33" s="210"/>
      <c r="AA33" s="210">
        <f t="shared" si="56"/>
        <v>-1281.4000000000001</v>
      </c>
      <c r="AB33" s="210">
        <f t="shared" si="56"/>
        <v>-179.03185999999999</v>
      </c>
      <c r="AC33" s="210"/>
      <c r="AD33" s="210">
        <f t="shared" si="56"/>
        <v>-3375.2000000000007</v>
      </c>
      <c r="AE33" s="210">
        <f t="shared" si="56"/>
        <v>-2250.1305900000007</v>
      </c>
      <c r="AF33" s="210"/>
      <c r="AG33" s="210">
        <f t="shared" si="56"/>
        <v>113.99799999999999</v>
      </c>
      <c r="AH33" s="210">
        <f t="shared" si="56"/>
        <v>-59.383210000000005</v>
      </c>
      <c r="AI33" s="210"/>
      <c r="AJ33" s="210">
        <f t="shared" si="56"/>
        <v>0</v>
      </c>
      <c r="AK33" s="210">
        <f t="shared" si="56"/>
        <v>4.1130100000000001</v>
      </c>
      <c r="AL33" s="210"/>
      <c r="AM33" s="210">
        <f t="shared" si="56"/>
        <v>2902</v>
      </c>
      <c r="AN33" s="210">
        <f t="shared" si="56"/>
        <v>0</v>
      </c>
      <c r="AO33" s="210" t="e">
        <f t="shared" si="56"/>
        <v>#DIV/0!</v>
      </c>
      <c r="AP33" s="210">
        <f t="shared" si="56"/>
        <v>-1121.3</v>
      </c>
      <c r="AQ33" s="210">
        <f t="shared" si="56"/>
        <v>75.114399999999989</v>
      </c>
      <c r="AR33" s="210"/>
      <c r="AS33" s="210">
        <f t="shared" si="56"/>
        <v>25.199999999999989</v>
      </c>
      <c r="AT33" s="210">
        <f t="shared" si="56"/>
        <v>-165.97344999999999</v>
      </c>
      <c r="AU33" s="210"/>
      <c r="AV33" s="210">
        <f t="shared" si="56"/>
        <v>0</v>
      </c>
      <c r="AW33" s="210">
        <f t="shared" si="56"/>
        <v>0</v>
      </c>
      <c r="AX33" s="210" t="e">
        <f t="shared" si="56"/>
        <v>#DIV/0!</v>
      </c>
      <c r="AY33" s="210">
        <f t="shared" si="56"/>
        <v>-560</v>
      </c>
      <c r="AZ33" s="210">
        <f t="shared" si="56"/>
        <v>-525.49865999999997</v>
      </c>
      <c r="BA33" s="210"/>
      <c r="BB33" s="210">
        <f t="shared" si="56"/>
        <v>0</v>
      </c>
      <c r="BC33" s="210">
        <f t="shared" si="56"/>
        <v>0</v>
      </c>
      <c r="BD33" s="210" t="e">
        <f t="shared" si="56"/>
        <v>#DIV/0!</v>
      </c>
      <c r="BE33" s="210">
        <f t="shared" si="56"/>
        <v>-206</v>
      </c>
      <c r="BF33" s="210">
        <f t="shared" si="56"/>
        <v>-591.20000000000005</v>
      </c>
      <c r="BG33" s="210">
        <f t="shared" si="56"/>
        <v>-100.88737201365188</v>
      </c>
      <c r="BH33" s="210">
        <f t="shared" si="56"/>
        <v>0</v>
      </c>
      <c r="BI33" s="210">
        <f t="shared" si="56"/>
        <v>0</v>
      </c>
      <c r="BJ33" s="210" t="e">
        <f t="shared" si="56"/>
        <v>#DIV/0!</v>
      </c>
      <c r="BK33" s="210">
        <f t="shared" si="56"/>
        <v>0</v>
      </c>
      <c r="BL33" s="210">
        <f t="shared" si="56"/>
        <v>0</v>
      </c>
      <c r="BM33" s="210" t="e">
        <f t="shared" si="56"/>
        <v>#DIV/0!</v>
      </c>
      <c r="BN33" s="210">
        <f t="shared" si="56"/>
        <v>0</v>
      </c>
      <c r="BO33" s="210">
        <f t="shared" si="56"/>
        <v>19.991209999999999</v>
      </c>
      <c r="BP33" s="210"/>
      <c r="BQ33" s="210">
        <f t="shared" ref="BQ33:DZ33" si="57">BQ32-BQ31</f>
        <v>0</v>
      </c>
      <c r="BR33" s="210">
        <f t="shared" si="57"/>
        <v>79.023160000000004</v>
      </c>
      <c r="BS33" s="210"/>
      <c r="BT33" s="210">
        <f t="shared" si="57"/>
        <v>0</v>
      </c>
      <c r="BU33" s="210">
        <f t="shared" si="57"/>
        <v>0</v>
      </c>
      <c r="BV33" s="210" t="e">
        <f t="shared" si="57"/>
        <v>#DIV/0!</v>
      </c>
      <c r="BW33" s="210">
        <f t="shared" si="57"/>
        <v>0</v>
      </c>
      <c r="BX33" s="210">
        <f t="shared" si="57"/>
        <v>0</v>
      </c>
      <c r="BY33" s="210" t="e">
        <f t="shared" si="57"/>
        <v>#DIV/0!</v>
      </c>
      <c r="BZ33" s="210">
        <f t="shared" si="57"/>
        <v>-8407.9183900000062</v>
      </c>
      <c r="CA33" s="210">
        <f t="shared" si="57"/>
        <v>-19716.747650000001</v>
      </c>
      <c r="CB33" s="210"/>
      <c r="CC33" s="210">
        <f t="shared" si="57"/>
        <v>-2525.2239999999947</v>
      </c>
      <c r="CD33" s="210">
        <f t="shared" si="57"/>
        <v>-13376.817000000003</v>
      </c>
      <c r="CE33" s="210"/>
      <c r="CF33" s="210">
        <f t="shared" si="57"/>
        <v>-2179.5749999999998</v>
      </c>
      <c r="CG33" s="210">
        <f t="shared" si="57"/>
        <v>-1733.5</v>
      </c>
      <c r="CH33" s="210"/>
      <c r="CI33" s="210">
        <f t="shared" si="57"/>
        <v>-4385.6283900000017</v>
      </c>
      <c r="CJ33" s="210">
        <f t="shared" si="57"/>
        <v>-1430.8890000000001</v>
      </c>
      <c r="CK33" s="210"/>
      <c r="CL33" s="210">
        <f t="shared" si="57"/>
        <v>3870.28</v>
      </c>
      <c r="CM33" s="210">
        <f t="shared" si="57"/>
        <v>-643.97000000000025</v>
      </c>
      <c r="CN33" s="210"/>
      <c r="CO33" s="210">
        <f t="shared" si="57"/>
        <v>0</v>
      </c>
      <c r="CP33" s="210">
        <f t="shared" si="57"/>
        <v>0</v>
      </c>
      <c r="CQ33" s="210"/>
      <c r="CR33" s="210">
        <f t="shared" si="57"/>
        <v>-3187.7709999999993</v>
      </c>
      <c r="CS33" s="210">
        <f t="shared" si="57"/>
        <v>-2898.5408899999998</v>
      </c>
      <c r="CT33" s="210"/>
      <c r="CU33" s="210">
        <f t="shared" si="57"/>
        <v>0</v>
      </c>
      <c r="CV33" s="210">
        <f t="shared" si="57"/>
        <v>366.96924000000001</v>
      </c>
      <c r="CW33" s="210" t="e">
        <f t="shared" si="57"/>
        <v>#DIV/0!</v>
      </c>
      <c r="CX33" s="210">
        <f t="shared" si="57"/>
        <v>0</v>
      </c>
      <c r="CY33" s="210">
        <f t="shared" si="57"/>
        <v>0</v>
      </c>
      <c r="CZ33" s="210" t="e">
        <f t="shared" si="57"/>
        <v>#DIV/0!</v>
      </c>
      <c r="DA33" s="210">
        <f t="shared" si="57"/>
        <v>0</v>
      </c>
      <c r="DB33" s="210">
        <f t="shared" si="57"/>
        <v>0</v>
      </c>
      <c r="DC33" s="210" t="e">
        <f t="shared" si="57"/>
        <v>#DIV/0!</v>
      </c>
      <c r="DD33" s="210">
        <f t="shared" si="57"/>
        <v>0</v>
      </c>
      <c r="DE33" s="210">
        <f t="shared" si="57"/>
        <v>0</v>
      </c>
      <c r="DF33" s="210">
        <f t="shared" si="57"/>
        <v>0</v>
      </c>
      <c r="DG33" s="210">
        <f t="shared" si="57"/>
        <v>-20226.026859999969</v>
      </c>
      <c r="DH33" s="210">
        <f t="shared" si="57"/>
        <v>-27130.266899999995</v>
      </c>
      <c r="DI33" s="210"/>
      <c r="DJ33" s="210">
        <f t="shared" si="57"/>
        <v>-3341.6755000000012</v>
      </c>
      <c r="DK33" s="210">
        <f t="shared" si="57"/>
        <v>-7824.5510200000017</v>
      </c>
      <c r="DL33" s="210"/>
      <c r="DM33" s="210">
        <f t="shared" si="57"/>
        <v>-3202.0120000000024</v>
      </c>
      <c r="DN33" s="210">
        <f t="shared" si="57"/>
        <v>-7716.8195600000008</v>
      </c>
      <c r="DO33" s="210"/>
      <c r="DP33" s="210">
        <f t="shared" si="57"/>
        <v>0</v>
      </c>
      <c r="DQ33" s="210">
        <f t="shared" si="57"/>
        <v>0</v>
      </c>
      <c r="DR33" s="210" t="e">
        <f t="shared" si="57"/>
        <v>#DIV/0!</v>
      </c>
      <c r="DS33" s="210">
        <f t="shared" si="57"/>
        <v>-21.010000000000005</v>
      </c>
      <c r="DT33" s="210">
        <f t="shared" si="57"/>
        <v>0</v>
      </c>
      <c r="DU33" s="210">
        <f t="shared" si="57"/>
        <v>0</v>
      </c>
      <c r="DV33" s="210">
        <f t="shared" si="57"/>
        <v>-118.65349999999998</v>
      </c>
      <c r="DW33" s="210">
        <f t="shared" si="57"/>
        <v>-107.73146</v>
      </c>
      <c r="DX33" s="210"/>
      <c r="DY33" s="210">
        <f t="shared" si="57"/>
        <v>-99</v>
      </c>
      <c r="DZ33" s="210">
        <f t="shared" si="57"/>
        <v>-644.83218999999997</v>
      </c>
      <c r="EA33" s="210"/>
      <c r="EB33" s="210">
        <f t="shared" ref="EB33:EX33" si="58">EB32-EB31</f>
        <v>-35.465499999999992</v>
      </c>
      <c r="EC33" s="210">
        <f t="shared" si="58"/>
        <v>-12.901000000000003</v>
      </c>
      <c r="ED33" s="210"/>
      <c r="EE33" s="210">
        <f t="shared" si="58"/>
        <v>-5529.1554700000015</v>
      </c>
      <c r="EF33" s="210">
        <f t="shared" si="58"/>
        <v>-6065.04385</v>
      </c>
      <c r="EG33" s="210"/>
      <c r="EH33" s="210">
        <f t="shared" si="58"/>
        <v>-3197.2143899999992</v>
      </c>
      <c r="EI33" s="210">
        <f t="shared" si="58"/>
        <v>-3379.6512200000011</v>
      </c>
      <c r="EJ33" s="210"/>
      <c r="EK33" s="210">
        <f t="shared" si="58"/>
        <v>-4795.8459999999977</v>
      </c>
      <c r="EL33" s="210">
        <f t="shared" si="58"/>
        <v>-9108.7376199999999</v>
      </c>
      <c r="EM33" s="210"/>
      <c r="EN33" s="210">
        <f t="shared" si="58"/>
        <v>-10</v>
      </c>
      <c r="EO33" s="210">
        <f t="shared" si="58"/>
        <v>-10</v>
      </c>
      <c r="EP33" s="210"/>
      <c r="EQ33" s="210">
        <f t="shared" si="58"/>
        <v>-118.30199999999999</v>
      </c>
      <c r="ER33" s="210">
        <f t="shared" si="58"/>
        <v>-84.549000000000007</v>
      </c>
      <c r="ES33" s="210"/>
      <c r="ET33" s="210">
        <f t="shared" si="58"/>
        <v>0</v>
      </c>
      <c r="EU33" s="210">
        <f t="shared" si="58"/>
        <v>0</v>
      </c>
      <c r="EV33" s="210"/>
      <c r="EW33" s="210">
        <f t="shared" si="58"/>
        <v>5393.3164699999952</v>
      </c>
      <c r="EX33" s="210">
        <f t="shared" si="58"/>
        <v>-597.54852999999912</v>
      </c>
      <c r="EY33" s="210"/>
    </row>
    <row r="34" spans="3:155" ht="21.75" customHeight="1">
      <c r="C34" s="153">
        <v>99695.429390000005</v>
      </c>
      <c r="D34" s="224">
        <v>35772.129390000002</v>
      </c>
      <c r="F34" s="153">
        <v>37183.642</v>
      </c>
      <c r="G34" s="153">
        <v>11224.61074</v>
      </c>
      <c r="I34" s="213">
        <v>5106.8999999999996</v>
      </c>
      <c r="J34" s="212">
        <v>2355.0550600000001</v>
      </c>
      <c r="L34" s="153">
        <v>3005.21</v>
      </c>
      <c r="M34" s="153">
        <v>1687.65022</v>
      </c>
      <c r="O34" s="153">
        <v>32.24</v>
      </c>
      <c r="P34" s="153">
        <v>12.79397</v>
      </c>
      <c r="R34" s="153">
        <v>5019.3900000000003</v>
      </c>
      <c r="S34" s="153">
        <v>2544.3684400000002</v>
      </c>
      <c r="U34" s="153">
        <v>0</v>
      </c>
      <c r="V34" s="153">
        <v>-350.64350000000002</v>
      </c>
      <c r="X34" s="153">
        <v>380</v>
      </c>
      <c r="Y34" s="210">
        <v>380.20848999999998</v>
      </c>
      <c r="AA34" s="153">
        <v>2833.4</v>
      </c>
      <c r="AB34" s="153">
        <v>212.96162000000001</v>
      </c>
      <c r="AD34" s="153">
        <v>17689.2</v>
      </c>
      <c r="AE34" s="153">
        <v>3015.3979300000001</v>
      </c>
      <c r="AG34" s="153">
        <v>150.00200000000001</v>
      </c>
      <c r="AH34" s="153">
        <v>87.833209999999994</v>
      </c>
      <c r="AK34" s="153">
        <v>0</v>
      </c>
      <c r="AN34" s="210"/>
      <c r="AP34" s="153">
        <v>1521.3</v>
      </c>
      <c r="AQ34" s="153">
        <v>26.8856</v>
      </c>
      <c r="AS34" s="153">
        <v>300</v>
      </c>
      <c r="AT34" s="153">
        <v>147.59639999999999</v>
      </c>
      <c r="AY34" s="153">
        <v>560</v>
      </c>
      <c r="AZ34" s="153">
        <v>525.49865999999997</v>
      </c>
      <c r="BE34" s="153">
        <v>586</v>
      </c>
      <c r="BF34" s="153">
        <v>591.20000000000005</v>
      </c>
      <c r="BN34" s="153">
        <v>0</v>
      </c>
      <c r="BO34" s="153">
        <v>0</v>
      </c>
      <c r="BR34" s="211">
        <v>-65.207610000000003</v>
      </c>
      <c r="BZ34" s="153">
        <v>62511.787389999998</v>
      </c>
      <c r="CA34" s="153">
        <v>24547.518650000002</v>
      </c>
      <c r="CC34" s="153">
        <v>28718.624</v>
      </c>
      <c r="CD34" s="153">
        <v>17742.400000000001</v>
      </c>
      <c r="CF34" s="153">
        <v>4979.5749999999998</v>
      </c>
      <c r="CG34" s="153">
        <v>1733.5</v>
      </c>
      <c r="CI34" s="211">
        <v>23769.017390000001</v>
      </c>
      <c r="CJ34" s="153">
        <v>1657.6769999999999</v>
      </c>
      <c r="CL34" s="153">
        <v>1856.8</v>
      </c>
      <c r="CM34" s="153">
        <v>882.37</v>
      </c>
      <c r="CO34" s="153">
        <v>0</v>
      </c>
      <c r="CP34" s="153">
        <v>0</v>
      </c>
      <c r="CR34" s="153">
        <v>3187.7710000000002</v>
      </c>
      <c r="CS34" s="153">
        <v>2898.5408900000002</v>
      </c>
      <c r="CU34" s="153">
        <v>0</v>
      </c>
      <c r="CV34" s="153">
        <v>-366.96924000000001</v>
      </c>
      <c r="DG34" s="213">
        <v>106862.44586000001</v>
      </c>
      <c r="DH34" s="213">
        <v>35174.580860000002</v>
      </c>
      <c r="DI34" s="213"/>
      <c r="DJ34" s="213">
        <v>21784.807499999999</v>
      </c>
      <c r="DK34" s="213">
        <v>7786.1811200000002</v>
      </c>
      <c r="DL34" s="213"/>
      <c r="DM34" s="213">
        <v>21560.098000000002</v>
      </c>
      <c r="DN34" s="213">
        <v>7698.4496600000002</v>
      </c>
      <c r="DO34" s="213"/>
      <c r="DP34" s="213">
        <v>0</v>
      </c>
      <c r="DQ34" s="213">
        <v>0</v>
      </c>
      <c r="DR34" s="213"/>
      <c r="DS34" s="213">
        <v>110.01</v>
      </c>
      <c r="DT34" s="213">
        <v>0</v>
      </c>
      <c r="DU34" s="213"/>
      <c r="DV34" s="213">
        <v>114.6995</v>
      </c>
      <c r="DW34" s="213">
        <v>87.731459999999998</v>
      </c>
      <c r="DX34" s="213"/>
      <c r="DY34" s="213">
        <v>1781.5</v>
      </c>
      <c r="DZ34" s="213">
        <v>596.70727999999997</v>
      </c>
      <c r="EA34" s="213"/>
      <c r="EB34" s="213">
        <v>170.2655</v>
      </c>
      <c r="EC34" s="213">
        <v>20.800999999999998</v>
      </c>
      <c r="ED34" s="213"/>
      <c r="EE34" s="213">
        <v>31072.510470000001</v>
      </c>
      <c r="EF34" s="213">
        <v>6219.0158600000004</v>
      </c>
      <c r="EG34" s="213"/>
      <c r="EH34" s="213">
        <v>18019.72939</v>
      </c>
      <c r="EI34" s="213">
        <v>3568.0493499999998</v>
      </c>
      <c r="EJ34" s="213"/>
      <c r="EK34" s="213">
        <v>32696.368999999999</v>
      </c>
      <c r="EL34" s="213">
        <v>10641.62053</v>
      </c>
      <c r="EM34" s="213"/>
      <c r="EN34" s="213">
        <v>0</v>
      </c>
      <c r="EO34" s="213">
        <v>0</v>
      </c>
      <c r="EP34" s="213"/>
      <c r="EQ34" s="213">
        <v>237</v>
      </c>
      <c r="ER34" s="213">
        <v>87.974000000000004</v>
      </c>
      <c r="ES34" s="213"/>
      <c r="ET34" s="213">
        <v>0</v>
      </c>
      <c r="EU34" s="213">
        <v>0</v>
      </c>
      <c r="EV34" s="213"/>
      <c r="EW34" s="153">
        <v>-5511.1164699999999</v>
      </c>
      <c r="EX34" s="153">
        <v>605.64768000000004</v>
      </c>
    </row>
    <row r="35" spans="3:155" s="221" customFormat="1" ht="27.75" customHeight="1">
      <c r="C35" s="210">
        <f>C34-C31</f>
        <v>-1604.8999999999942</v>
      </c>
      <c r="D35" s="210">
        <f>D34-D31</f>
        <v>0</v>
      </c>
      <c r="E35" s="210"/>
      <c r="F35" s="210">
        <f t="shared" ref="F35:BO35" si="59">F34-F31</f>
        <v>0</v>
      </c>
      <c r="G35" s="210">
        <f>G34-G31</f>
        <v>0</v>
      </c>
      <c r="H35" s="210"/>
      <c r="I35" s="210">
        <f t="shared" si="59"/>
        <v>0</v>
      </c>
      <c r="J35" s="210">
        <f>J34-J31</f>
        <v>0</v>
      </c>
      <c r="K35" s="210"/>
      <c r="L35" s="210">
        <f t="shared" si="59"/>
        <v>0</v>
      </c>
      <c r="M35" s="210">
        <f t="shared" si="59"/>
        <v>0</v>
      </c>
      <c r="N35" s="210"/>
      <c r="O35" s="210">
        <f t="shared" si="59"/>
        <v>0</v>
      </c>
      <c r="P35" s="210">
        <f t="shared" si="59"/>
        <v>0</v>
      </c>
      <c r="Q35" s="210"/>
      <c r="R35" s="210">
        <f t="shared" si="59"/>
        <v>0</v>
      </c>
      <c r="S35" s="210">
        <f t="shared" si="59"/>
        <v>0</v>
      </c>
      <c r="T35" s="210"/>
      <c r="U35" s="210">
        <f t="shared" si="59"/>
        <v>0</v>
      </c>
      <c r="V35" s="210">
        <f t="shared" si="59"/>
        <v>0</v>
      </c>
      <c r="W35" s="210"/>
      <c r="X35" s="210">
        <f t="shared" si="59"/>
        <v>0</v>
      </c>
      <c r="Y35" s="210">
        <f t="shared" si="59"/>
        <v>0</v>
      </c>
      <c r="Z35" s="210"/>
      <c r="AA35" s="210">
        <f t="shared" si="59"/>
        <v>0</v>
      </c>
      <c r="AB35" s="210">
        <f t="shared" si="59"/>
        <v>0</v>
      </c>
      <c r="AC35" s="210"/>
      <c r="AD35" s="210">
        <f t="shared" si="59"/>
        <v>0</v>
      </c>
      <c r="AE35" s="210">
        <f t="shared" si="59"/>
        <v>0</v>
      </c>
      <c r="AF35" s="210"/>
      <c r="AG35" s="210">
        <f t="shared" si="59"/>
        <v>0</v>
      </c>
      <c r="AH35" s="210">
        <f t="shared" si="59"/>
        <v>0</v>
      </c>
      <c r="AI35" s="210"/>
      <c r="AJ35" s="210">
        <f t="shared" si="59"/>
        <v>0</v>
      </c>
      <c r="AK35" s="210">
        <f t="shared" si="59"/>
        <v>0</v>
      </c>
      <c r="AL35" s="210"/>
      <c r="AM35" s="210">
        <f t="shared" si="59"/>
        <v>0</v>
      </c>
      <c r="AN35" s="210">
        <f t="shared" si="59"/>
        <v>0</v>
      </c>
      <c r="AO35" s="210"/>
      <c r="AP35" s="210">
        <f t="shared" si="59"/>
        <v>0</v>
      </c>
      <c r="AQ35" s="210">
        <f t="shared" si="59"/>
        <v>0</v>
      </c>
      <c r="AR35" s="210"/>
      <c r="AS35" s="210">
        <f t="shared" si="59"/>
        <v>0</v>
      </c>
      <c r="AT35" s="210">
        <f t="shared" si="59"/>
        <v>-53.00345999999999</v>
      </c>
      <c r="AU35" s="210"/>
      <c r="AV35" s="210">
        <f t="shared" si="59"/>
        <v>0</v>
      </c>
      <c r="AW35" s="210">
        <f t="shared" si="59"/>
        <v>0</v>
      </c>
      <c r="AX35" s="210" t="e">
        <f t="shared" si="59"/>
        <v>#DIV/0!</v>
      </c>
      <c r="AY35" s="210">
        <f t="shared" si="59"/>
        <v>0</v>
      </c>
      <c r="AZ35" s="210">
        <f t="shared" si="59"/>
        <v>0</v>
      </c>
      <c r="BA35" s="210"/>
      <c r="BB35" s="210">
        <f t="shared" si="59"/>
        <v>0</v>
      </c>
      <c r="BC35" s="210">
        <f t="shared" si="59"/>
        <v>0</v>
      </c>
      <c r="BD35" s="210" t="e">
        <f t="shared" si="59"/>
        <v>#DIV/0!</v>
      </c>
      <c r="BE35" s="210">
        <f>BE34-BE31</f>
        <v>0</v>
      </c>
      <c r="BF35" s="210">
        <f t="shared" si="59"/>
        <v>0</v>
      </c>
      <c r="BG35" s="210"/>
      <c r="BH35" s="210">
        <f t="shared" si="59"/>
        <v>0</v>
      </c>
      <c r="BI35" s="210">
        <f t="shared" si="59"/>
        <v>0</v>
      </c>
      <c r="BJ35" s="210" t="e">
        <f t="shared" si="59"/>
        <v>#DIV/0!</v>
      </c>
      <c r="BK35" s="210">
        <f t="shared" si="59"/>
        <v>0</v>
      </c>
      <c r="BL35" s="210">
        <f t="shared" si="59"/>
        <v>0</v>
      </c>
      <c r="BM35" s="210" t="e">
        <f t="shared" si="59"/>
        <v>#DIV/0!</v>
      </c>
      <c r="BN35" s="210">
        <f t="shared" si="59"/>
        <v>0</v>
      </c>
      <c r="BO35" s="210">
        <f t="shared" si="59"/>
        <v>-8.7899999999999992E-3</v>
      </c>
      <c r="BP35" s="210"/>
      <c r="BQ35" s="210">
        <f t="shared" ref="BQ35:DZ35" si="60">BQ34-BQ31</f>
        <v>0</v>
      </c>
      <c r="BR35" s="210">
        <f t="shared" si="60"/>
        <v>0</v>
      </c>
      <c r="BS35" s="210"/>
      <c r="BT35" s="210">
        <f t="shared" si="60"/>
        <v>0</v>
      </c>
      <c r="BU35" s="210">
        <f t="shared" si="60"/>
        <v>0</v>
      </c>
      <c r="BV35" s="210" t="e">
        <f t="shared" si="60"/>
        <v>#DIV/0!</v>
      </c>
      <c r="BW35" s="210">
        <f t="shared" si="60"/>
        <v>0</v>
      </c>
      <c r="BX35" s="210">
        <f t="shared" si="60"/>
        <v>0</v>
      </c>
      <c r="BY35" s="210" t="e">
        <f t="shared" si="60"/>
        <v>#DIV/0!</v>
      </c>
      <c r="BZ35" s="210">
        <f t="shared" si="60"/>
        <v>-1604.9000000000087</v>
      </c>
      <c r="CA35" s="210">
        <f t="shared" si="60"/>
        <v>0</v>
      </c>
      <c r="CB35" s="210"/>
      <c r="CC35" s="210">
        <f>CC34-CC31</f>
        <v>0</v>
      </c>
      <c r="CD35" s="210">
        <f t="shared" si="60"/>
        <v>0</v>
      </c>
      <c r="CE35" s="210"/>
      <c r="CF35" s="210">
        <f t="shared" si="60"/>
        <v>0</v>
      </c>
      <c r="CG35" s="210">
        <f t="shared" si="60"/>
        <v>0</v>
      </c>
      <c r="CH35" s="210"/>
      <c r="CI35" s="210">
        <f t="shared" si="60"/>
        <v>-1604.9000000000015</v>
      </c>
      <c r="CJ35" s="210">
        <f t="shared" si="60"/>
        <v>0</v>
      </c>
      <c r="CK35" s="210"/>
      <c r="CL35" s="210">
        <f t="shared" si="60"/>
        <v>0</v>
      </c>
      <c r="CM35" s="210">
        <f t="shared" si="60"/>
        <v>0</v>
      </c>
      <c r="CN35" s="210"/>
      <c r="CO35" s="210">
        <f t="shared" si="60"/>
        <v>0</v>
      </c>
      <c r="CP35" s="210">
        <f t="shared" si="60"/>
        <v>0</v>
      </c>
      <c r="CQ35" s="210"/>
      <c r="CR35" s="210">
        <f t="shared" si="60"/>
        <v>0</v>
      </c>
      <c r="CS35" s="210">
        <f t="shared" si="60"/>
        <v>0</v>
      </c>
      <c r="CT35" s="210"/>
      <c r="CU35" s="210">
        <f t="shared" si="60"/>
        <v>0</v>
      </c>
      <c r="CV35" s="210">
        <f>-(CV34-CV31)</f>
        <v>0</v>
      </c>
      <c r="CW35" s="210" t="e">
        <f t="shared" si="60"/>
        <v>#DIV/0!</v>
      </c>
      <c r="CX35" s="210">
        <f t="shared" si="60"/>
        <v>0</v>
      </c>
      <c r="CY35" s="210">
        <f t="shared" si="60"/>
        <v>0</v>
      </c>
      <c r="CZ35" s="210" t="e">
        <f t="shared" si="60"/>
        <v>#DIV/0!</v>
      </c>
      <c r="DA35" s="210">
        <f t="shared" si="60"/>
        <v>0</v>
      </c>
      <c r="DB35" s="210">
        <f t="shared" si="60"/>
        <v>0</v>
      </c>
      <c r="DC35" s="210" t="e">
        <f t="shared" si="60"/>
        <v>#DIV/0!</v>
      </c>
      <c r="DD35" s="210">
        <f t="shared" si="60"/>
        <v>0</v>
      </c>
      <c r="DE35" s="210">
        <f t="shared" si="60"/>
        <v>0</v>
      </c>
      <c r="DF35" s="210"/>
      <c r="DG35" s="210">
        <f t="shared" si="60"/>
        <v>168.80000000003201</v>
      </c>
      <c r="DH35" s="210">
        <f t="shared" si="60"/>
        <v>0</v>
      </c>
      <c r="DI35" s="210"/>
      <c r="DJ35" s="210">
        <f t="shared" si="60"/>
        <v>-216.15400000000227</v>
      </c>
      <c r="DK35" s="210">
        <f t="shared" si="60"/>
        <v>-2032.0241100000012</v>
      </c>
      <c r="DL35" s="210"/>
      <c r="DM35" s="210">
        <f t="shared" si="60"/>
        <v>-221.20000000000073</v>
      </c>
      <c r="DN35" s="210">
        <f t="shared" si="60"/>
        <v>-2012.0241100000003</v>
      </c>
      <c r="DO35" s="210"/>
      <c r="DP35" s="210">
        <f t="shared" si="60"/>
        <v>0</v>
      </c>
      <c r="DQ35" s="210">
        <f t="shared" si="60"/>
        <v>0</v>
      </c>
      <c r="DR35" s="210"/>
      <c r="DS35" s="210">
        <f t="shared" si="60"/>
        <v>9</v>
      </c>
      <c r="DT35" s="210">
        <f t="shared" si="60"/>
        <v>0</v>
      </c>
      <c r="DU35" s="210"/>
      <c r="DV35" s="210">
        <f t="shared" si="60"/>
        <v>-3.9539999999999793</v>
      </c>
      <c r="DW35" s="210">
        <f t="shared" si="60"/>
        <v>-20</v>
      </c>
      <c r="DX35" s="210"/>
      <c r="DY35" s="210">
        <f t="shared" si="60"/>
        <v>0</v>
      </c>
      <c r="DZ35" s="210">
        <f t="shared" si="60"/>
        <v>-189.66151000000002</v>
      </c>
      <c r="EA35" s="210"/>
      <c r="EB35" s="210">
        <f t="shared" ref="EB35:EX35" si="61">EB34-EB31</f>
        <v>-56.5</v>
      </c>
      <c r="EC35" s="210">
        <f t="shared" si="61"/>
        <v>-0.60000000000000497</v>
      </c>
      <c r="ED35" s="210"/>
      <c r="EE35" s="210">
        <f t="shared" si="61"/>
        <v>-3845.0339999999997</v>
      </c>
      <c r="EF35" s="210">
        <f t="shared" si="61"/>
        <v>-923.74135999999908</v>
      </c>
      <c r="EG35" s="210"/>
      <c r="EH35" s="210">
        <f t="shared" si="61"/>
        <v>-582.29699999999866</v>
      </c>
      <c r="EI35" s="210">
        <f t="shared" si="61"/>
        <v>-1140.5421200000014</v>
      </c>
      <c r="EJ35" s="210"/>
      <c r="EK35" s="210">
        <f t="shared" si="61"/>
        <v>3771.8230000000003</v>
      </c>
      <c r="EL35" s="210">
        <f t="shared" si="61"/>
        <v>-1956.2876199999992</v>
      </c>
      <c r="EM35" s="210"/>
      <c r="EN35" s="210">
        <f t="shared" si="61"/>
        <v>-10</v>
      </c>
      <c r="EO35" s="210">
        <f t="shared" si="61"/>
        <v>-10</v>
      </c>
      <c r="EP35" s="210"/>
      <c r="EQ35" s="210">
        <f>EQ34-EQ31</f>
        <v>6.6980000000000075</v>
      </c>
      <c r="ER35" s="210">
        <f t="shared" si="61"/>
        <v>-1.375</v>
      </c>
      <c r="ES35" s="210"/>
      <c r="ET35" s="210">
        <f t="shared" si="61"/>
        <v>0</v>
      </c>
      <c r="EU35" s="210">
        <f t="shared" si="61"/>
        <v>0</v>
      </c>
      <c r="EV35" s="210"/>
      <c r="EW35" s="210">
        <f t="shared" si="61"/>
        <v>-117.80000000000473</v>
      </c>
      <c r="EX35" s="210">
        <f t="shared" si="61"/>
        <v>8.0991500000009182</v>
      </c>
    </row>
    <row r="36" spans="3:155"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22"/>
    </row>
  </sheetData>
  <customSheetViews>
    <customSheetView guid="{A54C432C-6C68-4B53-A75C-446EB3A61B2B}" scale="75" showPageBreaks="1" printArea="1" hiddenRows="1" hiddenColumns="1" view="pageBreakPreview" topLeftCell="A10">
      <pane xSplit="2" ySplit="4" topLeftCell="C23" activePane="bottomRight" state="frozen"/>
      <selection pane="bottomRight" activeCell="B36" sqref="B3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5BFCA170-DEAE-4D2C-98A0-1E68B427AC01}" scale="75" showPageBreaks="1" printArea="1" hiddenRows="1" hiddenColumns="1" view="pageBreakPreview" topLeftCell="A10">
      <pane xSplit="2" ySplit="4" topLeftCell="C14" activePane="bottomRight" state="frozen"/>
      <selection pane="bottomRight" activeCell="E32" sqref="E32"/>
      <colBreaks count="6" manualBreakCount="6">
        <brk id="17" max="31" man="1"/>
        <brk id="35" max="31" man="1"/>
        <brk id="59" max="31" man="1"/>
        <brk id="92" max="31" man="1"/>
        <brk id="116" max="31" man="1"/>
        <brk id="134" max="31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5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5"/>
  <sheetViews>
    <sheetView view="pageBreakPreview" topLeftCell="A67" zoomScale="67" workbookViewId="0">
      <selection activeCell="D86" sqref="D86"/>
    </sheetView>
  </sheetViews>
  <sheetFormatPr defaultRowHeight="15.75"/>
  <cols>
    <col min="1" max="1" width="16.28515625" style="58" customWidth="1"/>
    <col min="2" max="2" width="57.5703125" style="59" customWidth="1"/>
    <col min="3" max="4" width="33.85546875" style="257" customWidth="1"/>
    <col min="5" max="5" width="15" style="62" customWidth="1"/>
    <col min="6" max="6" width="17.5703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52" t="s">
        <v>0</v>
      </c>
      <c r="B1" s="452"/>
      <c r="C1" s="452"/>
      <c r="D1" s="452"/>
      <c r="E1" s="452"/>
      <c r="F1" s="452"/>
    </row>
    <row r="2" spans="1:6">
      <c r="A2" s="452" t="s">
        <v>363</v>
      </c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361" t="s">
        <v>346</v>
      </c>
      <c r="D3" s="255" t="s">
        <v>361</v>
      </c>
      <c r="E3" s="72" t="s">
        <v>3</v>
      </c>
      <c r="F3" s="74" t="s">
        <v>4</v>
      </c>
    </row>
    <row r="4" spans="1:6" s="6" customFormat="1" ht="22.5">
      <c r="A4" s="3"/>
      <c r="B4" s="259" t="s">
        <v>5</v>
      </c>
      <c r="C4" s="301">
        <f>C5+C12+C16+C21+C23+C27+C7</f>
        <v>125924</v>
      </c>
      <c r="D4" s="301">
        <f>D5+D12+D16+D21+D23+D27+D7</f>
        <v>58478.558579999997</v>
      </c>
      <c r="E4" s="301">
        <f>SUM(D4/C4*100)</f>
        <v>46.439565595120861</v>
      </c>
      <c r="F4" s="301">
        <f>SUM(D4-C4)</f>
        <v>-67445.441420000003</v>
      </c>
    </row>
    <row r="5" spans="1:6" s="6" customFormat="1" ht="22.5">
      <c r="A5" s="68">
        <v>1010000000</v>
      </c>
      <c r="B5" s="259" t="s">
        <v>6</v>
      </c>
      <c r="C5" s="301">
        <f>C6</f>
        <v>104690</v>
      </c>
      <c r="D5" s="301">
        <f>D6</f>
        <v>48356.804700000001</v>
      </c>
      <c r="E5" s="301">
        <f t="shared" ref="E5:E81" si="0">SUM(D5/C5*100)</f>
        <v>46.190471582768176</v>
      </c>
      <c r="F5" s="301">
        <f t="shared" ref="F5:F81" si="1">SUM(D5-C5)</f>
        <v>-56333.195299999999</v>
      </c>
    </row>
    <row r="6" spans="1:6" ht="23.25">
      <c r="A6" s="7">
        <v>1010200001</v>
      </c>
      <c r="B6" s="260" t="s">
        <v>229</v>
      </c>
      <c r="C6" s="302">
        <v>104690</v>
      </c>
      <c r="D6" s="389">
        <v>48356.804700000001</v>
      </c>
      <c r="E6" s="302">
        <f t="shared" ref="E6:E11" si="2">SUM(D6/C6*100)</f>
        <v>46.190471582768176</v>
      </c>
      <c r="F6" s="302">
        <f t="shared" si="1"/>
        <v>-56333.195299999999</v>
      </c>
    </row>
    <row r="7" spans="1:6" ht="37.5">
      <c r="A7" s="68">
        <v>1030000000</v>
      </c>
      <c r="B7" s="261" t="s">
        <v>281</v>
      </c>
      <c r="C7" s="301">
        <f>C8+C10+C9</f>
        <v>4367.8600000000006</v>
      </c>
      <c r="D7" s="301">
        <f>D8+D10+D9+D11</f>
        <v>2111.1472199999998</v>
      </c>
      <c r="E7" s="302">
        <f t="shared" si="2"/>
        <v>48.333674156222948</v>
      </c>
      <c r="F7" s="302">
        <f t="shared" si="1"/>
        <v>-2256.7127800000007</v>
      </c>
    </row>
    <row r="8" spans="1:6" ht="23.25">
      <c r="A8" s="7">
        <v>1030223001</v>
      </c>
      <c r="B8" s="260" t="s">
        <v>283</v>
      </c>
      <c r="C8" s="302">
        <v>1410.394</v>
      </c>
      <c r="D8" s="389">
        <v>914.92639999999994</v>
      </c>
      <c r="E8" s="302">
        <f t="shared" si="2"/>
        <v>64.870270293265563</v>
      </c>
      <c r="F8" s="302">
        <f>SUM(D8-C8)</f>
        <v>-495.46760000000006</v>
      </c>
    </row>
    <row r="9" spans="1:6" ht="23.25">
      <c r="A9" s="7">
        <v>1030224001</v>
      </c>
      <c r="B9" s="260" t="s">
        <v>289</v>
      </c>
      <c r="C9" s="302">
        <v>25.545999999999999</v>
      </c>
      <c r="D9" s="389">
        <v>6.9359099999999998</v>
      </c>
      <c r="E9" s="302">
        <f t="shared" si="2"/>
        <v>27.150669380724967</v>
      </c>
      <c r="F9" s="302">
        <f>SUM(D9-C9)</f>
        <v>-18.61009</v>
      </c>
    </row>
    <row r="10" spans="1:6" ht="23.25">
      <c r="A10" s="7">
        <v>1030225001</v>
      </c>
      <c r="B10" s="260" t="s">
        <v>282</v>
      </c>
      <c r="C10" s="302">
        <v>2931.92</v>
      </c>
      <c r="D10" s="389">
        <v>1379.37943</v>
      </c>
      <c r="E10" s="302">
        <f t="shared" si="2"/>
        <v>47.046966834020026</v>
      </c>
      <c r="F10" s="302">
        <f t="shared" si="1"/>
        <v>-1552.5405700000001</v>
      </c>
    </row>
    <row r="11" spans="1:6" ht="23.25">
      <c r="A11" s="7">
        <v>1030226001</v>
      </c>
      <c r="B11" s="260" t="s">
        <v>291</v>
      </c>
      <c r="C11" s="302">
        <v>0</v>
      </c>
      <c r="D11" s="389">
        <v>-190.09451999999999</v>
      </c>
      <c r="E11" s="302" t="e">
        <f t="shared" si="2"/>
        <v>#DIV/0!</v>
      </c>
      <c r="F11" s="302">
        <f t="shared" si="1"/>
        <v>-190.09451999999999</v>
      </c>
    </row>
    <row r="12" spans="1:6" s="6" customFormat="1" ht="22.5">
      <c r="A12" s="68">
        <v>1050000000</v>
      </c>
      <c r="B12" s="259" t="s">
        <v>7</v>
      </c>
      <c r="C12" s="301">
        <f>SUM(C13:C15)</f>
        <v>12352</v>
      </c>
      <c r="D12" s="301">
        <f>SUM(D13:D15)</f>
        <v>6379.3686100000004</v>
      </c>
      <c r="E12" s="301">
        <f t="shared" si="0"/>
        <v>51.646442762305696</v>
      </c>
      <c r="F12" s="301">
        <f t="shared" si="1"/>
        <v>-5972.6313899999996</v>
      </c>
    </row>
    <row r="13" spans="1:6" ht="23.25">
      <c r="A13" s="7">
        <v>1050200000</v>
      </c>
      <c r="B13" s="262" t="s">
        <v>239</v>
      </c>
      <c r="C13" s="390">
        <v>11115</v>
      </c>
      <c r="D13" s="389">
        <v>5411.6827700000003</v>
      </c>
      <c r="E13" s="302">
        <f t="shared" si="0"/>
        <v>48.688104093567254</v>
      </c>
      <c r="F13" s="302">
        <f t="shared" si="1"/>
        <v>-5703.3172299999997</v>
      </c>
    </row>
    <row r="14" spans="1:6" ht="23.25" customHeight="1">
      <c r="A14" s="7">
        <v>1050300000</v>
      </c>
      <c r="B14" s="262" t="s">
        <v>230</v>
      </c>
      <c r="C14" s="390">
        <v>887</v>
      </c>
      <c r="D14" s="389">
        <v>887.15313000000003</v>
      </c>
      <c r="E14" s="302">
        <f t="shared" si="0"/>
        <v>100.01726381059753</v>
      </c>
      <c r="F14" s="302">
        <f t="shared" si="1"/>
        <v>0.15313000000003285</v>
      </c>
    </row>
    <row r="15" spans="1:6" ht="37.5">
      <c r="A15" s="7">
        <v>1050400002</v>
      </c>
      <c r="B15" s="260" t="s">
        <v>266</v>
      </c>
      <c r="C15" s="390">
        <v>350</v>
      </c>
      <c r="D15" s="389">
        <v>80.532709999999994</v>
      </c>
      <c r="E15" s="302">
        <f t="shared" si="0"/>
        <v>23.009345714285711</v>
      </c>
      <c r="F15" s="302">
        <f t="shared" si="1"/>
        <v>-269.46728999999999</v>
      </c>
    </row>
    <row r="16" spans="1:6" s="6" customFormat="1" ht="24" customHeight="1">
      <c r="A16" s="68">
        <v>1060000000</v>
      </c>
      <c r="B16" s="259" t="s">
        <v>136</v>
      </c>
      <c r="C16" s="301">
        <f>SUM(C17:C20)</f>
        <v>1915</v>
      </c>
      <c r="D16" s="301">
        <f>SUM(D17:D20)</f>
        <v>294.55542000000003</v>
      </c>
      <c r="E16" s="301">
        <f t="shared" si="0"/>
        <v>15.381484073107051</v>
      </c>
      <c r="F16" s="301">
        <f t="shared" si="1"/>
        <v>-1620.4445799999999</v>
      </c>
    </row>
    <row r="17" spans="1:6" s="6" customFormat="1" ht="18" hidden="1" customHeight="1">
      <c r="A17" s="7">
        <v>1060100000</v>
      </c>
      <c r="B17" s="262" t="s">
        <v>9</v>
      </c>
      <c r="C17" s="302"/>
      <c r="D17" s="389"/>
      <c r="E17" s="301" t="e">
        <f t="shared" si="0"/>
        <v>#DIV/0!</v>
      </c>
      <c r="F17" s="301">
        <f t="shared" si="1"/>
        <v>0</v>
      </c>
    </row>
    <row r="18" spans="1:6" s="6" customFormat="1" ht="17.25" hidden="1" customHeight="1">
      <c r="A18" s="7">
        <v>1060200000</v>
      </c>
      <c r="B18" s="262" t="s">
        <v>123</v>
      </c>
      <c r="C18" s="302"/>
      <c r="D18" s="389"/>
      <c r="E18" s="301" t="e">
        <f t="shared" si="0"/>
        <v>#DIV/0!</v>
      </c>
      <c r="F18" s="301">
        <f t="shared" si="1"/>
        <v>0</v>
      </c>
    </row>
    <row r="19" spans="1:6" s="6" customFormat="1" ht="21.75" customHeight="1">
      <c r="A19" s="7">
        <v>1060400000</v>
      </c>
      <c r="B19" s="262" t="s">
        <v>280</v>
      </c>
      <c r="C19" s="302">
        <v>1915</v>
      </c>
      <c r="D19" s="389">
        <v>294.55542000000003</v>
      </c>
      <c r="E19" s="302">
        <f t="shared" si="0"/>
        <v>15.381484073107051</v>
      </c>
      <c r="F19" s="302">
        <f t="shared" si="1"/>
        <v>-1620.4445799999999</v>
      </c>
    </row>
    <row r="20" spans="1:6" ht="15.75" hidden="1" customHeight="1">
      <c r="A20" s="7">
        <v>1060600000</v>
      </c>
      <c r="B20" s="262" t="s">
        <v>8</v>
      </c>
      <c r="C20" s="302"/>
      <c r="D20" s="389"/>
      <c r="E20" s="302" t="e">
        <f t="shared" si="0"/>
        <v>#DIV/0!</v>
      </c>
      <c r="F20" s="302">
        <f t="shared" si="1"/>
        <v>0</v>
      </c>
    </row>
    <row r="21" spans="1:6" s="6" customFormat="1" ht="42" customHeight="1">
      <c r="A21" s="68">
        <v>1070000000</v>
      </c>
      <c r="B21" s="261" t="s">
        <v>10</v>
      </c>
      <c r="C21" s="301">
        <f>SUM(C22)</f>
        <v>399.14</v>
      </c>
      <c r="D21" s="301">
        <f>SUM(D22)</f>
        <v>9.9229999999999999E-2</v>
      </c>
      <c r="E21" s="301">
        <f t="shared" si="0"/>
        <v>2.4860951044746202E-2</v>
      </c>
      <c r="F21" s="301">
        <f t="shared" si="1"/>
        <v>-399.04077000000001</v>
      </c>
    </row>
    <row r="22" spans="1:6" ht="41.25" customHeight="1">
      <c r="A22" s="7">
        <v>1070102001</v>
      </c>
      <c r="B22" s="260" t="s">
        <v>240</v>
      </c>
      <c r="C22" s="302">
        <v>399.14</v>
      </c>
      <c r="D22" s="389">
        <v>9.9229999999999999E-2</v>
      </c>
      <c r="E22" s="302">
        <f t="shared" si="0"/>
        <v>2.4860951044746202E-2</v>
      </c>
      <c r="F22" s="302">
        <f t="shared" si="1"/>
        <v>-399.04077000000001</v>
      </c>
    </row>
    <row r="23" spans="1:6" s="6" customFormat="1" ht="22.5">
      <c r="A23" s="3">
        <v>1080000000</v>
      </c>
      <c r="B23" s="259" t="s">
        <v>11</v>
      </c>
      <c r="C23" s="301">
        <f>C24+C25+C26</f>
        <v>2200</v>
      </c>
      <c r="D23" s="301">
        <f>D24+D25+D26</f>
        <v>1336.5834</v>
      </c>
      <c r="E23" s="301">
        <f t="shared" si="0"/>
        <v>60.75379090909091</v>
      </c>
      <c r="F23" s="301">
        <f t="shared" si="1"/>
        <v>-863.41660000000002</v>
      </c>
    </row>
    <row r="24" spans="1:6" ht="36.75" customHeight="1">
      <c r="A24" s="7">
        <v>1080300001</v>
      </c>
      <c r="B24" s="260" t="s">
        <v>241</v>
      </c>
      <c r="C24" s="302">
        <v>1600</v>
      </c>
      <c r="D24" s="389">
        <v>1004.09048</v>
      </c>
      <c r="E24" s="302">
        <f t="shared" si="0"/>
        <v>62.755654999999997</v>
      </c>
      <c r="F24" s="302">
        <f t="shared" si="1"/>
        <v>-595.90952000000004</v>
      </c>
    </row>
    <row r="25" spans="1:6" ht="33.75" hidden="1" customHeight="1">
      <c r="A25" s="7">
        <v>1080600001</v>
      </c>
      <c r="B25" s="260" t="s">
        <v>228</v>
      </c>
      <c r="C25" s="302">
        <v>0</v>
      </c>
      <c r="D25" s="389">
        <v>0</v>
      </c>
      <c r="E25" s="302" t="e">
        <f>SUM(D25/C25*100)</f>
        <v>#DIV/0!</v>
      </c>
      <c r="F25" s="302">
        <f t="shared" si="1"/>
        <v>0</v>
      </c>
    </row>
    <row r="26" spans="1:6" ht="69.75" customHeight="1">
      <c r="A26" s="7">
        <v>1080714001</v>
      </c>
      <c r="B26" s="260" t="s">
        <v>227</v>
      </c>
      <c r="C26" s="302">
        <v>600</v>
      </c>
      <c r="D26" s="389">
        <v>332.49292000000003</v>
      </c>
      <c r="E26" s="302">
        <f t="shared" si="0"/>
        <v>55.415486666666666</v>
      </c>
      <c r="F26" s="302">
        <f t="shared" si="1"/>
        <v>-267.50707999999997</v>
      </c>
    </row>
    <row r="27" spans="1:6" s="15" customFormat="1" ht="0.75" hidden="1" customHeight="1">
      <c r="A27" s="68">
        <v>1090000000</v>
      </c>
      <c r="B27" s="261" t="s">
        <v>231</v>
      </c>
      <c r="C27" s="301">
        <f>C28+C29+C30+C31</f>
        <v>0</v>
      </c>
      <c r="D27" s="301">
        <f>D28+D29+D30+D31</f>
        <v>0</v>
      </c>
      <c r="E27" s="302" t="e">
        <f t="shared" si="0"/>
        <v>#DIV/0!</v>
      </c>
      <c r="F27" s="301">
        <f t="shared" si="1"/>
        <v>0</v>
      </c>
    </row>
    <row r="28" spans="1:6" s="15" customFormat="1" ht="17.25" hidden="1" customHeight="1">
      <c r="A28" s="7">
        <v>1090100000</v>
      </c>
      <c r="B28" s="260" t="s">
        <v>125</v>
      </c>
      <c r="C28" s="302">
        <v>0</v>
      </c>
      <c r="D28" s="389">
        <v>0</v>
      </c>
      <c r="E28" s="302" t="e">
        <f t="shared" si="0"/>
        <v>#DIV/0!</v>
      </c>
      <c r="F28" s="302">
        <f t="shared" si="1"/>
        <v>0</v>
      </c>
    </row>
    <row r="29" spans="1:6" s="15" customFormat="1" ht="17.25" hidden="1" customHeight="1">
      <c r="A29" s="7">
        <v>1090400000</v>
      </c>
      <c r="B29" s="260" t="s">
        <v>126</v>
      </c>
      <c r="C29" s="302">
        <v>0</v>
      </c>
      <c r="D29" s="389">
        <v>0</v>
      </c>
      <c r="E29" s="302" t="e">
        <f t="shared" si="0"/>
        <v>#DIV/0!</v>
      </c>
      <c r="F29" s="302">
        <f t="shared" si="1"/>
        <v>0</v>
      </c>
    </row>
    <row r="30" spans="1:6" s="15" customFormat="1" ht="15.75" hidden="1" customHeight="1">
      <c r="A30" s="7">
        <v>1090600000</v>
      </c>
      <c r="B30" s="260" t="s">
        <v>127</v>
      </c>
      <c r="C30" s="302">
        <v>0</v>
      </c>
      <c r="D30" s="389">
        <v>0</v>
      </c>
      <c r="E30" s="302" t="e">
        <f t="shared" si="0"/>
        <v>#DIV/0!</v>
      </c>
      <c r="F30" s="302">
        <f t="shared" si="1"/>
        <v>0</v>
      </c>
    </row>
    <row r="31" spans="1:6" s="15" customFormat="1" ht="42" hidden="1" customHeight="1">
      <c r="A31" s="7">
        <v>1090700000</v>
      </c>
      <c r="B31" s="260" t="s">
        <v>128</v>
      </c>
      <c r="C31" s="302">
        <v>0</v>
      </c>
      <c r="D31" s="389">
        <v>0</v>
      </c>
      <c r="E31" s="302" t="e">
        <f t="shared" si="0"/>
        <v>#DIV/0!</v>
      </c>
      <c r="F31" s="302">
        <f t="shared" si="1"/>
        <v>0</v>
      </c>
    </row>
    <row r="32" spans="1:6" s="6" customFormat="1" ht="33.75" customHeight="1">
      <c r="A32" s="3"/>
      <c r="B32" s="259" t="s">
        <v>13</v>
      </c>
      <c r="C32" s="301">
        <f>C33+C41+C43+C46+C49+C51+C68</f>
        <v>26680.1</v>
      </c>
      <c r="D32" s="301">
        <f>D33+D41+D43+D46+D49+D51+D68</f>
        <v>14291.145640000001</v>
      </c>
      <c r="E32" s="301">
        <f t="shared" si="0"/>
        <v>53.564812875513965</v>
      </c>
      <c r="F32" s="301">
        <f t="shared" si="1"/>
        <v>-12388.954359999998</v>
      </c>
    </row>
    <row r="33" spans="1:6" s="6" customFormat="1" ht="60.75" customHeight="1">
      <c r="A33" s="3">
        <v>1110000000</v>
      </c>
      <c r="B33" s="261" t="s">
        <v>129</v>
      </c>
      <c r="C33" s="301">
        <f>C35+C36+C37+C39+C38+C34+C40</f>
        <v>9536.2999999999993</v>
      </c>
      <c r="D33" s="301">
        <f>D35+D36+D37+D39+D38+D34+D40</f>
        <v>5510.7017300000007</v>
      </c>
      <c r="E33" s="301">
        <f t="shared" si="0"/>
        <v>57.786581063934662</v>
      </c>
      <c r="F33" s="301">
        <f t="shared" si="1"/>
        <v>-4025.5982699999986</v>
      </c>
    </row>
    <row r="34" spans="1:6" s="6" customFormat="1" ht="34.5" customHeight="1">
      <c r="A34" s="7">
        <v>1110105005</v>
      </c>
      <c r="B34" s="260" t="s">
        <v>320</v>
      </c>
      <c r="C34" s="302">
        <v>10</v>
      </c>
      <c r="D34" s="302">
        <v>16.89</v>
      </c>
      <c r="E34" s="302">
        <f t="shared" si="0"/>
        <v>168.9</v>
      </c>
      <c r="F34" s="302">
        <f t="shared" si="1"/>
        <v>6.8900000000000006</v>
      </c>
    </row>
    <row r="35" spans="1:6" ht="27.75" hidden="1" customHeight="1">
      <c r="A35" s="7">
        <v>1110305005</v>
      </c>
      <c r="B35" s="262" t="s">
        <v>242</v>
      </c>
      <c r="C35" s="302">
        <v>0</v>
      </c>
      <c r="D35" s="389">
        <v>0</v>
      </c>
      <c r="E35" s="302" t="e">
        <f t="shared" si="0"/>
        <v>#DIV/0!</v>
      </c>
      <c r="F35" s="302">
        <f t="shared" si="1"/>
        <v>0</v>
      </c>
    </row>
    <row r="36" spans="1:6" ht="23.25">
      <c r="A36" s="16">
        <v>1110501101</v>
      </c>
      <c r="B36" s="263" t="s">
        <v>226</v>
      </c>
      <c r="C36" s="390">
        <v>8736.2999999999993</v>
      </c>
      <c r="D36" s="389">
        <v>5023.4437900000003</v>
      </c>
      <c r="E36" s="302">
        <f t="shared" si="0"/>
        <v>57.500816020512126</v>
      </c>
      <c r="F36" s="302">
        <f t="shared" si="1"/>
        <v>-3712.856209999999</v>
      </c>
    </row>
    <row r="37" spans="1:6" ht="21.75" customHeight="1">
      <c r="A37" s="7">
        <v>1110503505</v>
      </c>
      <c r="B37" s="262" t="s">
        <v>225</v>
      </c>
      <c r="C37" s="390">
        <v>400</v>
      </c>
      <c r="D37" s="389">
        <v>224.13342</v>
      </c>
      <c r="E37" s="302">
        <f t="shared" si="0"/>
        <v>56.033354999999993</v>
      </c>
      <c r="F37" s="302">
        <f t="shared" si="1"/>
        <v>-175.86658</v>
      </c>
    </row>
    <row r="38" spans="1:6" ht="0.75" hidden="1" customHeight="1">
      <c r="A38" s="7">
        <v>1110502000</v>
      </c>
      <c r="B38" s="260" t="s">
        <v>277</v>
      </c>
      <c r="C38" s="391">
        <v>0</v>
      </c>
      <c r="D38" s="389">
        <v>0</v>
      </c>
      <c r="E38" s="302" t="e">
        <f t="shared" si="0"/>
        <v>#DIV/0!</v>
      </c>
      <c r="F38" s="302">
        <f t="shared" si="1"/>
        <v>0</v>
      </c>
    </row>
    <row r="39" spans="1:6" s="15" customFormat="1" ht="23.25">
      <c r="A39" s="7">
        <v>1110701505</v>
      </c>
      <c r="B39" s="262" t="s">
        <v>243</v>
      </c>
      <c r="C39" s="390">
        <v>20</v>
      </c>
      <c r="D39" s="389">
        <v>17.364999999999998</v>
      </c>
      <c r="E39" s="302">
        <f t="shared" si="0"/>
        <v>86.825000000000003</v>
      </c>
      <c r="F39" s="302">
        <f t="shared" si="1"/>
        <v>-2.6350000000000016</v>
      </c>
    </row>
    <row r="40" spans="1:6" s="15" customFormat="1" ht="23.25">
      <c r="A40" s="7">
        <v>1110904505</v>
      </c>
      <c r="B40" s="262" t="s">
        <v>334</v>
      </c>
      <c r="C40" s="390">
        <v>370</v>
      </c>
      <c r="D40" s="389">
        <v>228.86951999999999</v>
      </c>
      <c r="E40" s="302">
        <f t="shared" si="0"/>
        <v>61.856627027027024</v>
      </c>
      <c r="F40" s="302">
        <f t="shared" si="1"/>
        <v>-141.13048000000001</v>
      </c>
    </row>
    <row r="41" spans="1:6" s="15" customFormat="1" ht="37.5">
      <c r="A41" s="68">
        <v>1120000000</v>
      </c>
      <c r="B41" s="261" t="s">
        <v>130</v>
      </c>
      <c r="C41" s="392">
        <f>C42</f>
        <v>490</v>
      </c>
      <c r="D41" s="392">
        <f>D42</f>
        <v>491.14828999999997</v>
      </c>
      <c r="E41" s="301">
        <f t="shared" si="0"/>
        <v>100.23434489795918</v>
      </c>
      <c r="F41" s="301">
        <f t="shared" si="1"/>
        <v>1.1482899999999745</v>
      </c>
    </row>
    <row r="42" spans="1:6" s="15" customFormat="1" ht="37.5">
      <c r="A42" s="7">
        <v>1120100001</v>
      </c>
      <c r="B42" s="260" t="s">
        <v>244</v>
      </c>
      <c r="C42" s="302">
        <v>490</v>
      </c>
      <c r="D42" s="389">
        <v>491.14828999999997</v>
      </c>
      <c r="E42" s="302">
        <f t="shared" si="0"/>
        <v>100.23434489795918</v>
      </c>
      <c r="F42" s="302">
        <f t="shared" si="1"/>
        <v>1.1482899999999745</v>
      </c>
    </row>
    <row r="43" spans="1:6" s="258" customFormat="1" ht="21.75" customHeight="1">
      <c r="A43" s="329">
        <v>1130000000</v>
      </c>
      <c r="B43" s="264" t="s">
        <v>131</v>
      </c>
      <c r="C43" s="301">
        <f>C44+C45</f>
        <v>459</v>
      </c>
      <c r="D43" s="301">
        <f>D44+D45</f>
        <v>179.50745000000001</v>
      </c>
      <c r="E43" s="301">
        <f t="shared" si="0"/>
        <v>39.108376906318085</v>
      </c>
      <c r="F43" s="301">
        <f t="shared" si="1"/>
        <v>-279.49254999999999</v>
      </c>
    </row>
    <row r="44" spans="1:6" s="15" customFormat="1" ht="36" customHeight="1">
      <c r="A44" s="7">
        <v>1130200000</v>
      </c>
      <c r="B44" s="260" t="s">
        <v>330</v>
      </c>
      <c r="C44" s="302">
        <v>459</v>
      </c>
      <c r="D44" s="302">
        <v>179.50745000000001</v>
      </c>
      <c r="E44" s="302">
        <f>SUM(D44/C44*100)</f>
        <v>39.108376906318085</v>
      </c>
      <c r="F44" s="302">
        <f>SUM(D44-C44)</f>
        <v>-279.49254999999999</v>
      </c>
    </row>
    <row r="45" spans="1:6" ht="25.5" hidden="1" customHeight="1">
      <c r="A45" s="7">
        <v>1130305005</v>
      </c>
      <c r="B45" s="260" t="s">
        <v>224</v>
      </c>
      <c r="C45" s="302">
        <v>0</v>
      </c>
      <c r="D45" s="389">
        <v>0</v>
      </c>
      <c r="E45" s="302"/>
      <c r="F45" s="302">
        <f t="shared" si="1"/>
        <v>0</v>
      </c>
    </row>
    <row r="46" spans="1:6" ht="20.25" customHeight="1">
      <c r="A46" s="109">
        <v>1140000000</v>
      </c>
      <c r="B46" s="265" t="s">
        <v>132</v>
      </c>
      <c r="C46" s="301">
        <f>C47+C48</f>
        <v>6682.8</v>
      </c>
      <c r="D46" s="301">
        <f>D47+D48</f>
        <v>1147.04214</v>
      </c>
      <c r="E46" s="301">
        <f t="shared" si="0"/>
        <v>17.1640949901239</v>
      </c>
      <c r="F46" s="301">
        <f t="shared" si="1"/>
        <v>-5535.7578599999997</v>
      </c>
    </row>
    <row r="47" spans="1:6" ht="23.25">
      <c r="A47" s="16">
        <v>1140200000</v>
      </c>
      <c r="B47" s="266" t="s">
        <v>222</v>
      </c>
      <c r="C47" s="302">
        <v>500</v>
      </c>
      <c r="D47" s="389">
        <v>9</v>
      </c>
      <c r="E47" s="302">
        <f t="shared" si="0"/>
        <v>1.7999999999999998</v>
      </c>
      <c r="F47" s="302">
        <f t="shared" si="1"/>
        <v>-491</v>
      </c>
    </row>
    <row r="48" spans="1:6" ht="24" customHeight="1">
      <c r="A48" s="7">
        <v>1140600000</v>
      </c>
      <c r="B48" s="260" t="s">
        <v>223</v>
      </c>
      <c r="C48" s="302">
        <v>6182.8</v>
      </c>
      <c r="D48" s="389">
        <v>1138.04214</v>
      </c>
      <c r="E48" s="302">
        <f t="shared" si="0"/>
        <v>18.406581807595266</v>
      </c>
      <c r="F48" s="302">
        <f t="shared" si="1"/>
        <v>-5044.7578599999997</v>
      </c>
    </row>
    <row r="49" spans="1:8" ht="37.5" hidden="1">
      <c r="A49" s="3">
        <v>1150000000</v>
      </c>
      <c r="B49" s="261" t="s">
        <v>235</v>
      </c>
      <c r="C49" s="301">
        <f>C50</f>
        <v>0</v>
      </c>
      <c r="D49" s="301">
        <f>D50</f>
        <v>0</v>
      </c>
      <c r="E49" s="301" t="e">
        <f t="shared" si="0"/>
        <v>#DIV/0!</v>
      </c>
      <c r="F49" s="301">
        <f t="shared" si="1"/>
        <v>0</v>
      </c>
    </row>
    <row r="50" spans="1:8" ht="56.25" hidden="1">
      <c r="A50" s="7">
        <v>1150205005</v>
      </c>
      <c r="B50" s="260" t="s">
        <v>236</v>
      </c>
      <c r="C50" s="302">
        <v>0</v>
      </c>
      <c r="D50" s="389">
        <v>0</v>
      </c>
      <c r="E50" s="302" t="e">
        <f t="shared" si="0"/>
        <v>#DIV/0!</v>
      </c>
      <c r="F50" s="302">
        <f t="shared" si="1"/>
        <v>0</v>
      </c>
    </row>
    <row r="51" spans="1:8" ht="37.5">
      <c r="A51" s="3">
        <v>1160000000</v>
      </c>
      <c r="B51" s="261" t="s">
        <v>134</v>
      </c>
      <c r="C51" s="301">
        <f>C52+C53+C54+C55+C56+C57+C58+C59+C60+C61+C62+C63+C64+C65+C66+C67</f>
        <v>9512</v>
      </c>
      <c r="D51" s="301">
        <f>D52+D53+D54+D55+D56+D57+D58+D59+D60+D61+D62+D63+D64+D65+D66+D67</f>
        <v>6962.7460300000002</v>
      </c>
      <c r="E51" s="301">
        <f>SUM(D51/C51*100)</f>
        <v>73.199600820016826</v>
      </c>
      <c r="F51" s="301">
        <f t="shared" si="1"/>
        <v>-2549.2539699999998</v>
      </c>
      <c r="H51" s="152"/>
    </row>
    <row r="52" spans="1:8" ht="23.25">
      <c r="A52" s="7">
        <v>1160301001</v>
      </c>
      <c r="B52" s="260" t="s">
        <v>245</v>
      </c>
      <c r="C52" s="302">
        <v>12</v>
      </c>
      <c r="D52" s="393">
        <v>4.0869999999999997</v>
      </c>
      <c r="E52" s="302">
        <f>SUM(D52/C52*100)</f>
        <v>34.05833333333333</v>
      </c>
      <c r="F52" s="302">
        <f t="shared" si="1"/>
        <v>-7.9130000000000003</v>
      </c>
    </row>
    <row r="53" spans="1:8" ht="21" customHeight="1">
      <c r="A53" s="7">
        <v>1160303001</v>
      </c>
      <c r="B53" s="260" t="s">
        <v>246</v>
      </c>
      <c r="C53" s="302">
        <v>8</v>
      </c>
      <c r="D53" s="394">
        <v>4.3</v>
      </c>
      <c r="E53" s="302">
        <f t="shared" si="0"/>
        <v>53.75</v>
      </c>
      <c r="F53" s="302">
        <f t="shared" si="1"/>
        <v>-3.7</v>
      </c>
    </row>
    <row r="54" spans="1:8" ht="23.25" customHeight="1">
      <c r="A54" s="7">
        <v>1160600000</v>
      </c>
      <c r="B54" s="260" t="s">
        <v>247</v>
      </c>
      <c r="C54" s="302">
        <v>82</v>
      </c>
      <c r="D54" s="394">
        <v>0</v>
      </c>
      <c r="E54" s="302">
        <f t="shared" si="0"/>
        <v>0</v>
      </c>
      <c r="F54" s="302">
        <f t="shared" si="1"/>
        <v>-82</v>
      </c>
    </row>
    <row r="55" spans="1:8" s="15" customFormat="1" ht="48" customHeight="1">
      <c r="A55" s="7">
        <v>1160800001</v>
      </c>
      <c r="B55" s="260" t="s">
        <v>248</v>
      </c>
      <c r="C55" s="302">
        <v>220</v>
      </c>
      <c r="D55" s="394">
        <v>25</v>
      </c>
      <c r="E55" s="302">
        <f t="shared" si="0"/>
        <v>11.363636363636363</v>
      </c>
      <c r="F55" s="302">
        <f t="shared" si="1"/>
        <v>-195</v>
      </c>
    </row>
    <row r="56" spans="1:8" ht="35.25" customHeight="1">
      <c r="A56" s="7">
        <v>1160802001</v>
      </c>
      <c r="B56" s="260" t="s">
        <v>342</v>
      </c>
      <c r="C56" s="302">
        <v>35</v>
      </c>
      <c r="D56" s="389">
        <v>0</v>
      </c>
      <c r="E56" s="302">
        <f t="shared" si="0"/>
        <v>0</v>
      </c>
      <c r="F56" s="302">
        <f t="shared" si="1"/>
        <v>-35</v>
      </c>
    </row>
    <row r="57" spans="1:8" ht="35.25" customHeight="1">
      <c r="A57" s="7">
        <v>1162105005</v>
      </c>
      <c r="B57" s="260" t="s">
        <v>16</v>
      </c>
      <c r="C57" s="302">
        <v>245</v>
      </c>
      <c r="D57" s="389">
        <v>71.900000000000006</v>
      </c>
      <c r="E57" s="302">
        <f t="shared" si="0"/>
        <v>29.346938775510207</v>
      </c>
      <c r="F57" s="302">
        <f t="shared" si="1"/>
        <v>-173.1</v>
      </c>
    </row>
    <row r="58" spans="1:8" ht="35.25" customHeight="1">
      <c r="A58" s="16">
        <v>1162503001</v>
      </c>
      <c r="B58" s="266" t="s">
        <v>333</v>
      </c>
      <c r="C58" s="302">
        <v>140</v>
      </c>
      <c r="D58" s="389">
        <v>0</v>
      </c>
      <c r="E58" s="302">
        <f t="shared" si="0"/>
        <v>0</v>
      </c>
      <c r="F58" s="302">
        <f t="shared" si="1"/>
        <v>-140</v>
      </c>
    </row>
    <row r="59" spans="1:8" ht="21.75" customHeight="1">
      <c r="A59" s="16">
        <v>1162505001</v>
      </c>
      <c r="B59" s="266" t="s">
        <v>345</v>
      </c>
      <c r="C59" s="302">
        <v>0</v>
      </c>
      <c r="D59" s="389">
        <v>10</v>
      </c>
      <c r="E59" s="302" t="e">
        <f t="shared" si="0"/>
        <v>#DIV/0!</v>
      </c>
      <c r="F59" s="302">
        <f t="shared" si="1"/>
        <v>10</v>
      </c>
    </row>
    <row r="60" spans="1:8" ht="21.75" customHeight="1">
      <c r="A60" s="16">
        <v>1162506001</v>
      </c>
      <c r="B60" s="266" t="s">
        <v>269</v>
      </c>
      <c r="C60" s="302">
        <v>445</v>
      </c>
      <c r="D60" s="389">
        <v>40</v>
      </c>
      <c r="E60" s="302">
        <f t="shared" si="0"/>
        <v>8.9887640449438209</v>
      </c>
      <c r="F60" s="302">
        <f t="shared" si="1"/>
        <v>-405</v>
      </c>
    </row>
    <row r="61" spans="1:8" ht="0.75" hidden="1" customHeight="1">
      <c r="A61" s="7">
        <v>1162700001</v>
      </c>
      <c r="B61" s="260" t="s">
        <v>249</v>
      </c>
      <c r="C61" s="302">
        <v>0</v>
      </c>
      <c r="D61" s="389">
        <v>0</v>
      </c>
      <c r="E61" s="302" t="e">
        <f t="shared" si="0"/>
        <v>#DIV/0!</v>
      </c>
      <c r="F61" s="302">
        <f t="shared" si="1"/>
        <v>0</v>
      </c>
    </row>
    <row r="62" spans="1:8" ht="37.5" customHeight="1">
      <c r="A62" s="7">
        <v>1162800001</v>
      </c>
      <c r="B62" s="260" t="s">
        <v>238</v>
      </c>
      <c r="C62" s="302">
        <v>370</v>
      </c>
      <c r="D62" s="389">
        <v>148.10400999999999</v>
      </c>
      <c r="E62" s="302">
        <f>SUM(D62/C62*100)</f>
        <v>40.028110810810809</v>
      </c>
      <c r="F62" s="302">
        <f>SUM(D62-C62)</f>
        <v>-221.89599000000001</v>
      </c>
    </row>
    <row r="63" spans="1:8" ht="36" customHeight="1">
      <c r="A63" s="7">
        <v>1163003001</v>
      </c>
      <c r="B63" s="260" t="s">
        <v>270</v>
      </c>
      <c r="C63" s="302">
        <v>25</v>
      </c>
      <c r="D63" s="389">
        <v>4.5</v>
      </c>
      <c r="E63" s="302">
        <f>SUM(D63/C63*100)</f>
        <v>18</v>
      </c>
      <c r="F63" s="302">
        <f>SUM(D63-C63)</f>
        <v>-20.5</v>
      </c>
    </row>
    <row r="64" spans="1:8" ht="56.25">
      <c r="A64" s="7">
        <v>1164300001</v>
      </c>
      <c r="B64" s="267" t="s">
        <v>262</v>
      </c>
      <c r="C64" s="302">
        <v>300</v>
      </c>
      <c r="D64" s="389">
        <v>168.07615999999999</v>
      </c>
      <c r="E64" s="302">
        <f t="shared" si="0"/>
        <v>56.025386666666662</v>
      </c>
      <c r="F64" s="302">
        <f t="shared" si="1"/>
        <v>-131.92384000000001</v>
      </c>
    </row>
    <row r="65" spans="1:8" ht="73.5" customHeight="1">
      <c r="A65" s="7">
        <v>1163305005</v>
      </c>
      <c r="B65" s="260" t="s">
        <v>17</v>
      </c>
      <c r="C65" s="302">
        <v>5035</v>
      </c>
      <c r="D65" s="389">
        <v>5120.5199000000002</v>
      </c>
      <c r="E65" s="302">
        <f t="shared" si="0"/>
        <v>101.69850844091361</v>
      </c>
      <c r="F65" s="302">
        <f t="shared" si="1"/>
        <v>85.519900000000234</v>
      </c>
    </row>
    <row r="66" spans="1:8" ht="23.25" hidden="1">
      <c r="A66" s="7">
        <v>1163500000</v>
      </c>
      <c r="B66" s="260" t="s">
        <v>331</v>
      </c>
      <c r="C66" s="302">
        <v>0</v>
      </c>
      <c r="D66" s="389">
        <v>0</v>
      </c>
      <c r="E66" s="302" t="e">
        <f t="shared" si="0"/>
        <v>#DIV/0!</v>
      </c>
      <c r="F66" s="302">
        <f t="shared" si="1"/>
        <v>0</v>
      </c>
    </row>
    <row r="67" spans="1:8" ht="35.25" customHeight="1">
      <c r="A67" s="7">
        <v>1169000000</v>
      </c>
      <c r="B67" s="260" t="s">
        <v>237</v>
      </c>
      <c r="C67" s="302">
        <v>2595</v>
      </c>
      <c r="D67" s="389">
        <v>1366.2589599999999</v>
      </c>
      <c r="E67" s="302">
        <f t="shared" si="0"/>
        <v>52.649670905587662</v>
      </c>
      <c r="F67" s="302">
        <f t="shared" si="1"/>
        <v>-1228.7410400000001</v>
      </c>
    </row>
    <row r="68" spans="1:8" ht="25.5" hidden="1" customHeight="1">
      <c r="A68" s="3">
        <v>1170000000</v>
      </c>
      <c r="B68" s="261" t="s">
        <v>135</v>
      </c>
      <c r="C68" s="301">
        <f>C69+C70</f>
        <v>0</v>
      </c>
      <c r="D68" s="301">
        <f>D69+D70</f>
        <v>0</v>
      </c>
      <c r="E68" s="302" t="e">
        <f t="shared" si="0"/>
        <v>#DIV/0!</v>
      </c>
      <c r="F68" s="301">
        <f t="shared" si="1"/>
        <v>0</v>
      </c>
    </row>
    <row r="69" spans="1:8" ht="23.25" hidden="1">
      <c r="A69" s="7">
        <v>1170105005</v>
      </c>
      <c r="B69" s="260" t="s">
        <v>18</v>
      </c>
      <c r="C69" s="302">
        <v>0</v>
      </c>
      <c r="D69" s="302">
        <v>0</v>
      </c>
      <c r="E69" s="302" t="e">
        <f t="shared" si="0"/>
        <v>#DIV/0!</v>
      </c>
      <c r="F69" s="302">
        <f t="shared" si="1"/>
        <v>0</v>
      </c>
    </row>
    <row r="70" spans="1:8" ht="23.25" hidden="1">
      <c r="A70" s="7">
        <v>1170505005</v>
      </c>
      <c r="B70" s="262" t="s">
        <v>221</v>
      </c>
      <c r="C70" s="302">
        <v>0</v>
      </c>
      <c r="D70" s="389">
        <v>0</v>
      </c>
      <c r="E70" s="302" t="e">
        <f t="shared" si="0"/>
        <v>#DIV/0!</v>
      </c>
      <c r="F70" s="302">
        <f t="shared" si="1"/>
        <v>0</v>
      </c>
    </row>
    <row r="71" spans="1:8" s="6" customFormat="1" ht="22.5">
      <c r="A71" s="3">
        <v>1000000000</v>
      </c>
      <c r="B71" s="259" t="s">
        <v>19</v>
      </c>
      <c r="C71" s="395">
        <f>SUM(C4,C32)</f>
        <v>152604.1</v>
      </c>
      <c r="D71" s="395">
        <f>SUM(D4,D32)</f>
        <v>72769.70422</v>
      </c>
      <c r="E71" s="301">
        <f>SUM(D71/C71*100)</f>
        <v>47.685287760944824</v>
      </c>
      <c r="F71" s="301">
        <f>SUM(D71-C71)</f>
        <v>-79834.395780000006</v>
      </c>
      <c r="G71" s="94"/>
      <c r="H71" s="94"/>
    </row>
    <row r="72" spans="1:8" s="6" customFormat="1" ht="30" customHeight="1">
      <c r="A72" s="3">
        <v>2000000000</v>
      </c>
      <c r="B72" s="259" t="s">
        <v>20</v>
      </c>
      <c r="C72" s="301">
        <f>C73+C76+C77+C78+C80+C75+C79</f>
        <v>585907.12115999998</v>
      </c>
      <c r="D72" s="301">
        <f>D73+D76+D77+D78+D80+D75+D79</f>
        <v>227336.60759</v>
      </c>
      <c r="E72" s="301">
        <f t="shared" si="0"/>
        <v>38.800792716072614</v>
      </c>
      <c r="F72" s="301">
        <f t="shared" si="1"/>
        <v>-358570.51356999995</v>
      </c>
      <c r="G72" s="94"/>
      <c r="H72" s="94"/>
    </row>
    <row r="73" spans="1:8" ht="21.75" customHeight="1">
      <c r="A73" s="16">
        <v>2021000000</v>
      </c>
      <c r="B73" s="263" t="s">
        <v>21</v>
      </c>
      <c r="C73" s="390">
        <v>12497.1</v>
      </c>
      <c r="D73" s="396">
        <v>3679.2</v>
      </c>
      <c r="E73" s="302">
        <f t="shared" si="0"/>
        <v>29.440430179801712</v>
      </c>
      <c r="F73" s="302">
        <f t="shared" si="1"/>
        <v>-8817.9000000000015</v>
      </c>
    </row>
    <row r="74" spans="1:8" ht="32.25" hidden="1" customHeight="1">
      <c r="A74" s="16">
        <v>2020100905</v>
      </c>
      <c r="B74" s="266" t="s">
        <v>276</v>
      </c>
      <c r="C74" s="390">
        <v>0</v>
      </c>
      <c r="D74" s="396">
        <v>0</v>
      </c>
      <c r="E74" s="302" t="e">
        <f t="shared" si="0"/>
        <v>#DIV/0!</v>
      </c>
      <c r="F74" s="302">
        <f t="shared" si="1"/>
        <v>0</v>
      </c>
    </row>
    <row r="75" spans="1:8" ht="21.75" customHeight="1">
      <c r="A75" s="16">
        <v>2020100310</v>
      </c>
      <c r="B75" s="263" t="s">
        <v>232</v>
      </c>
      <c r="C75" s="390">
        <v>17580</v>
      </c>
      <c r="D75" s="396">
        <v>8790</v>
      </c>
      <c r="E75" s="302">
        <f t="shared" si="0"/>
        <v>50</v>
      </c>
      <c r="F75" s="302">
        <f t="shared" si="1"/>
        <v>-8790</v>
      </c>
    </row>
    <row r="76" spans="1:8" ht="23.25">
      <c r="A76" s="16">
        <v>2022000000</v>
      </c>
      <c r="B76" s="263" t="s">
        <v>22</v>
      </c>
      <c r="C76" s="390">
        <v>205924.41232999999</v>
      </c>
      <c r="D76" s="389">
        <v>15721.2531</v>
      </c>
      <c r="E76" s="302">
        <f t="shared" si="0"/>
        <v>7.6344775843313926</v>
      </c>
      <c r="F76" s="302">
        <f t="shared" si="1"/>
        <v>-190203.15922999999</v>
      </c>
    </row>
    <row r="77" spans="1:8" ht="23.25">
      <c r="A77" s="16">
        <v>2023000000</v>
      </c>
      <c r="B77" s="263" t="s">
        <v>23</v>
      </c>
      <c r="C77" s="390">
        <v>329567.17882999999</v>
      </c>
      <c r="D77" s="397">
        <v>189193.7629</v>
      </c>
      <c r="E77" s="302">
        <f t="shared" si="0"/>
        <v>57.406736790859703</v>
      </c>
      <c r="F77" s="302">
        <f t="shared" si="1"/>
        <v>-140373.41592999999</v>
      </c>
    </row>
    <row r="78" spans="1:8" ht="19.5" customHeight="1">
      <c r="A78" s="16">
        <v>2024000000</v>
      </c>
      <c r="B78" s="266" t="s">
        <v>24</v>
      </c>
      <c r="C78" s="390">
        <v>20342.650000000001</v>
      </c>
      <c r="D78" s="398">
        <v>9954.4439999999995</v>
      </c>
      <c r="E78" s="302">
        <f t="shared" si="0"/>
        <v>48.933860632710093</v>
      </c>
      <c r="F78" s="302">
        <f t="shared" si="1"/>
        <v>-10388.206000000002</v>
      </c>
    </row>
    <row r="79" spans="1:8" ht="23.25">
      <c r="A79" s="16">
        <v>2180500005</v>
      </c>
      <c r="B79" s="266" t="s">
        <v>325</v>
      </c>
      <c r="C79" s="390">
        <v>0</v>
      </c>
      <c r="D79" s="398">
        <v>366.96924000000001</v>
      </c>
      <c r="E79" s="302" t="e">
        <f t="shared" si="0"/>
        <v>#DIV/0!</v>
      </c>
      <c r="F79" s="302">
        <f t="shared" si="1"/>
        <v>366.96924000000001</v>
      </c>
    </row>
    <row r="80" spans="1:8" ht="22.5" customHeight="1">
      <c r="A80" s="7">
        <v>2196001005</v>
      </c>
      <c r="B80" s="262" t="s">
        <v>26</v>
      </c>
      <c r="C80" s="399">
        <v>-4.22</v>
      </c>
      <c r="D80" s="399">
        <v>-369.02165000000002</v>
      </c>
      <c r="E80" s="302">
        <f t="shared" si="0"/>
        <v>8744.5888625592434</v>
      </c>
      <c r="F80" s="301">
        <f>SUM(D80-C80)</f>
        <v>-364.80165</v>
      </c>
    </row>
    <row r="81" spans="1:8" s="6" customFormat="1" ht="56.25" hidden="1">
      <c r="A81" s="3">
        <v>3000000000</v>
      </c>
      <c r="B81" s="261" t="s">
        <v>27</v>
      </c>
      <c r="C81" s="392">
        <v>0</v>
      </c>
      <c r="D81" s="399">
        <v>0</v>
      </c>
      <c r="E81" s="302" t="e">
        <f t="shared" si="0"/>
        <v>#DIV/0!</v>
      </c>
      <c r="F81" s="301">
        <f t="shared" si="1"/>
        <v>0</v>
      </c>
    </row>
    <row r="82" spans="1:8" s="6" customFormat="1" ht="22.5" customHeight="1">
      <c r="A82" s="3"/>
      <c r="B82" s="259" t="s">
        <v>28</v>
      </c>
      <c r="C82" s="388">
        <f>C71+C72</f>
        <v>738511.22115999996</v>
      </c>
      <c r="D82" s="388">
        <f>D71+D72</f>
        <v>300106.31180999998</v>
      </c>
      <c r="E82" s="302">
        <f>SUM(D82/C82*100)</f>
        <v>40.636662410980662</v>
      </c>
      <c r="F82" s="301">
        <f>SUM(D83-C82)</f>
        <v>-737698.68231999991</v>
      </c>
      <c r="G82" s="330"/>
      <c r="H82" s="94"/>
    </row>
    <row r="83" spans="1:8" s="6" customFormat="1" ht="22.5">
      <c r="A83" s="3"/>
      <c r="B83" s="268" t="s">
        <v>321</v>
      </c>
      <c r="C83" s="400">
        <f>C82-C142</f>
        <v>-11535.529880000046</v>
      </c>
      <c r="D83" s="301">
        <f>D82-D142</f>
        <v>812.5388399999938</v>
      </c>
      <c r="E83" s="303"/>
      <c r="F83" s="303"/>
      <c r="G83" s="94"/>
      <c r="H83" s="94"/>
    </row>
    <row r="84" spans="1:8" ht="23.25">
      <c r="A84" s="23"/>
      <c r="B84" s="24"/>
      <c r="C84" s="362"/>
      <c r="D84" s="362"/>
      <c r="E84" s="304"/>
      <c r="F84" s="304"/>
    </row>
    <row r="85" spans="1:8" ht="63">
      <c r="A85" s="28" t="s">
        <v>1</v>
      </c>
      <c r="B85" s="28" t="s">
        <v>29</v>
      </c>
      <c r="C85" s="363" t="s">
        <v>346</v>
      </c>
      <c r="D85" s="364" t="s">
        <v>364</v>
      </c>
      <c r="E85" s="305" t="s">
        <v>3</v>
      </c>
      <c r="F85" s="306" t="s">
        <v>4</v>
      </c>
    </row>
    <row r="86" spans="1:8" ht="22.5">
      <c r="A86" s="29">
        <v>1</v>
      </c>
      <c r="B86" s="28">
        <v>2</v>
      </c>
      <c r="C86" s="307">
        <v>3</v>
      </c>
      <c r="D86" s="307">
        <v>4</v>
      </c>
      <c r="E86" s="307">
        <v>5</v>
      </c>
      <c r="F86" s="307">
        <v>6</v>
      </c>
    </row>
    <row r="87" spans="1:8" s="6" customFormat="1" ht="22.5">
      <c r="A87" s="30" t="s">
        <v>30</v>
      </c>
      <c r="B87" s="269" t="s">
        <v>31</v>
      </c>
      <c r="C87" s="303">
        <f>SUM(C88:C94)</f>
        <v>38788.900999999998</v>
      </c>
      <c r="D87" s="303">
        <f>SUM(D88:D94)</f>
        <v>17514.4879</v>
      </c>
      <c r="E87" s="308">
        <f>SUM(D87/C87*100)</f>
        <v>45.153349150057124</v>
      </c>
      <c r="F87" s="308">
        <f>SUM(D87-C87)</f>
        <v>-21274.413099999998</v>
      </c>
    </row>
    <row r="88" spans="1:8" s="6" customFormat="1" ht="37.5">
      <c r="A88" s="35" t="s">
        <v>32</v>
      </c>
      <c r="B88" s="270" t="s">
        <v>33</v>
      </c>
      <c r="C88" s="379">
        <v>50</v>
      </c>
      <c r="D88" s="379">
        <v>6.7743000000000002</v>
      </c>
      <c r="E88" s="308">
        <f>SUM(D88/C88*100)</f>
        <v>13.5486</v>
      </c>
      <c r="F88" s="308">
        <f>SUM(D88-C88)</f>
        <v>-43.225700000000003</v>
      </c>
    </row>
    <row r="89" spans="1:8" ht="21.75" customHeight="1">
      <c r="A89" s="35" t="s">
        <v>34</v>
      </c>
      <c r="B89" s="271" t="s">
        <v>35</v>
      </c>
      <c r="C89" s="379">
        <v>22153.892</v>
      </c>
      <c r="D89" s="379">
        <v>10654.302830000001</v>
      </c>
      <c r="E89" s="309">
        <f t="shared" ref="E89:E142" si="3">SUM(D89/C89*100)</f>
        <v>48.092239638976302</v>
      </c>
      <c r="F89" s="309">
        <f t="shared" ref="F89:F142" si="4">SUM(D89-C89)</f>
        <v>-11499.589169999999</v>
      </c>
    </row>
    <row r="90" spans="1:8" ht="19.5" customHeight="1">
      <c r="A90" s="35" t="s">
        <v>36</v>
      </c>
      <c r="B90" s="271" t="s">
        <v>37</v>
      </c>
      <c r="C90" s="379">
        <v>126.8</v>
      </c>
      <c r="D90" s="379">
        <v>0</v>
      </c>
      <c r="E90" s="309">
        <f t="shared" si="3"/>
        <v>0</v>
      </c>
      <c r="F90" s="309">
        <f t="shared" si="4"/>
        <v>-126.8</v>
      </c>
    </row>
    <row r="91" spans="1:8" ht="38.25" customHeight="1">
      <c r="A91" s="35" t="s">
        <v>38</v>
      </c>
      <c r="B91" s="271" t="s">
        <v>39</v>
      </c>
      <c r="C91" s="380">
        <v>5346.16</v>
      </c>
      <c r="D91" s="380">
        <v>2605.19319</v>
      </c>
      <c r="E91" s="309">
        <f t="shared" si="3"/>
        <v>48.730176238646052</v>
      </c>
      <c r="F91" s="309">
        <f t="shared" si="4"/>
        <v>-2740.9668099999999</v>
      </c>
    </row>
    <row r="92" spans="1:8" ht="18.75" hidden="1" customHeight="1">
      <c r="A92" s="35" t="s">
        <v>40</v>
      </c>
      <c r="B92" s="271" t="s">
        <v>41</v>
      </c>
      <c r="C92" s="379">
        <v>90.55</v>
      </c>
      <c r="D92" s="379">
        <v>0</v>
      </c>
      <c r="E92" s="309">
        <f t="shared" si="3"/>
        <v>0</v>
      </c>
      <c r="F92" s="309">
        <f t="shared" si="4"/>
        <v>-90.55</v>
      </c>
    </row>
    <row r="93" spans="1:8" ht="24.75" customHeight="1">
      <c r="A93" s="35" t="s">
        <v>42</v>
      </c>
      <c r="B93" s="271" t="s">
        <v>43</v>
      </c>
      <c r="C93" s="380">
        <v>490.29899999999998</v>
      </c>
      <c r="D93" s="380">
        <v>0</v>
      </c>
      <c r="E93" s="309">
        <f t="shared" si="3"/>
        <v>0</v>
      </c>
      <c r="F93" s="309">
        <f t="shared" si="4"/>
        <v>-490.29899999999998</v>
      </c>
    </row>
    <row r="94" spans="1:8" ht="24" customHeight="1">
      <c r="A94" s="35" t="s">
        <v>44</v>
      </c>
      <c r="B94" s="271" t="s">
        <v>45</v>
      </c>
      <c r="C94" s="379">
        <v>10531.2</v>
      </c>
      <c r="D94" s="379">
        <v>4248.2175800000005</v>
      </c>
      <c r="E94" s="309">
        <f t="shared" si="3"/>
        <v>40.339349551807963</v>
      </c>
      <c r="F94" s="309">
        <f t="shared" si="4"/>
        <v>-6282.9824200000003</v>
      </c>
    </row>
    <row r="95" spans="1:8" s="6" customFormat="1" ht="22.5">
      <c r="A95" s="41" t="s">
        <v>46</v>
      </c>
      <c r="B95" s="272" t="s">
        <v>47</v>
      </c>
      <c r="C95" s="303">
        <f>C96</f>
        <v>1781.5</v>
      </c>
      <c r="D95" s="303">
        <f>D96</f>
        <v>882.37</v>
      </c>
      <c r="E95" s="308">
        <f t="shared" si="3"/>
        <v>49.529609879315181</v>
      </c>
      <c r="F95" s="308">
        <f t="shared" si="4"/>
        <v>-899.13</v>
      </c>
    </row>
    <row r="96" spans="1:8" ht="23.25">
      <c r="A96" s="43" t="s">
        <v>48</v>
      </c>
      <c r="B96" s="273" t="s">
        <v>49</v>
      </c>
      <c r="C96" s="379">
        <v>1781.5</v>
      </c>
      <c r="D96" s="379">
        <v>882.37</v>
      </c>
      <c r="E96" s="309">
        <f t="shared" si="3"/>
        <v>49.529609879315181</v>
      </c>
      <c r="F96" s="309">
        <f t="shared" si="4"/>
        <v>-899.13</v>
      </c>
    </row>
    <row r="97" spans="1:7" s="6" customFormat="1" ht="21" customHeight="1">
      <c r="A97" s="30" t="s">
        <v>50</v>
      </c>
      <c r="B97" s="269" t="s">
        <v>51</v>
      </c>
      <c r="C97" s="303">
        <f>SUM(C99:C102)</f>
        <v>4702.1330000000007</v>
      </c>
      <c r="D97" s="303">
        <f>SUM(D99:D101)</f>
        <v>2383.5952299999999</v>
      </c>
      <c r="E97" s="308">
        <f t="shared" si="3"/>
        <v>50.691786684893849</v>
      </c>
      <c r="F97" s="308">
        <f t="shared" si="4"/>
        <v>-2318.5377700000008</v>
      </c>
    </row>
    <row r="98" spans="1:7" ht="23.25" hidden="1">
      <c r="A98" s="35" t="s">
        <v>52</v>
      </c>
      <c r="B98" s="271" t="s">
        <v>53</v>
      </c>
      <c r="C98" s="379"/>
      <c r="D98" s="379"/>
      <c r="E98" s="309" t="e">
        <f t="shared" si="3"/>
        <v>#DIV/0!</v>
      </c>
      <c r="F98" s="309">
        <f t="shared" si="4"/>
        <v>0</v>
      </c>
    </row>
    <row r="99" spans="1:7" ht="23.25">
      <c r="A99" s="45" t="s">
        <v>54</v>
      </c>
      <c r="B99" s="271" t="s">
        <v>327</v>
      </c>
      <c r="C99" s="379">
        <v>1582.6</v>
      </c>
      <c r="D99" s="379">
        <v>758</v>
      </c>
      <c r="E99" s="309">
        <f t="shared" si="3"/>
        <v>47.895867559711867</v>
      </c>
      <c r="F99" s="309">
        <f t="shared" si="4"/>
        <v>-824.59999999999991</v>
      </c>
    </row>
    <row r="100" spans="1:7" ht="36.75" customHeight="1">
      <c r="A100" s="46" t="s">
        <v>56</v>
      </c>
      <c r="B100" s="274" t="s">
        <v>57</v>
      </c>
      <c r="C100" s="379">
        <v>3025.4830000000002</v>
      </c>
      <c r="D100" s="379">
        <v>1625.5952299999999</v>
      </c>
      <c r="E100" s="309">
        <f t="shared" si="3"/>
        <v>53.730106234277301</v>
      </c>
      <c r="F100" s="309">
        <f t="shared" si="4"/>
        <v>-1399.8877700000003</v>
      </c>
    </row>
    <row r="101" spans="1:7" ht="21" hidden="1" customHeight="1">
      <c r="A101" s="46" t="s">
        <v>219</v>
      </c>
      <c r="B101" s="274" t="s">
        <v>220</v>
      </c>
      <c r="C101" s="379">
        <v>0</v>
      </c>
      <c r="D101" s="379">
        <v>0</v>
      </c>
      <c r="E101" s="309" t="e">
        <f t="shared" si="3"/>
        <v>#DIV/0!</v>
      </c>
      <c r="F101" s="309">
        <f t="shared" si="4"/>
        <v>0</v>
      </c>
    </row>
    <row r="102" spans="1:7" ht="34.5" customHeight="1">
      <c r="A102" s="46" t="s">
        <v>384</v>
      </c>
      <c r="B102" s="274" t="s">
        <v>385</v>
      </c>
      <c r="C102" s="381">
        <v>94.05</v>
      </c>
      <c r="D102" s="379"/>
      <c r="E102" s="309"/>
      <c r="F102" s="309"/>
    </row>
    <row r="103" spans="1:7" s="6" customFormat="1" ht="25.5" customHeight="1">
      <c r="A103" s="30" t="s">
        <v>58</v>
      </c>
      <c r="B103" s="269" t="s">
        <v>59</v>
      </c>
      <c r="C103" s="382">
        <f>SUM(C105:C107)</f>
        <v>163665.899</v>
      </c>
      <c r="D103" s="382">
        <f>SUM(D105:D107)</f>
        <v>13642.787249999999</v>
      </c>
      <c r="E103" s="308">
        <f t="shared" si="3"/>
        <v>8.3357543222855472</v>
      </c>
      <c r="F103" s="308">
        <f t="shared" si="4"/>
        <v>-150023.11175000001</v>
      </c>
    </row>
    <row r="104" spans="1:7" ht="0.75" hidden="1" customHeight="1">
      <c r="A104" s="35" t="s">
        <v>60</v>
      </c>
      <c r="B104" s="271" t="s">
        <v>61</v>
      </c>
      <c r="C104" s="383">
        <v>0</v>
      </c>
      <c r="D104" s="379">
        <v>0</v>
      </c>
      <c r="E104" s="309" t="e">
        <f t="shared" si="3"/>
        <v>#DIV/0!</v>
      </c>
      <c r="F104" s="309">
        <f t="shared" si="4"/>
        <v>0</v>
      </c>
    </row>
    <row r="105" spans="1:7" s="6" customFormat="1" ht="20.25" customHeight="1">
      <c r="A105" s="35" t="s">
        <v>60</v>
      </c>
      <c r="B105" s="271" t="s">
        <v>324</v>
      </c>
      <c r="C105" s="383">
        <v>112.1</v>
      </c>
      <c r="D105" s="379">
        <v>18</v>
      </c>
      <c r="E105" s="309">
        <f t="shared" si="3"/>
        <v>16.057091882247992</v>
      </c>
      <c r="F105" s="309">
        <f t="shared" si="4"/>
        <v>-94.1</v>
      </c>
      <c r="G105" s="50"/>
    </row>
    <row r="106" spans="1:7" ht="26.25" customHeight="1">
      <c r="A106" s="35" t="s">
        <v>64</v>
      </c>
      <c r="B106" s="271" t="s">
        <v>65</v>
      </c>
      <c r="C106" s="383">
        <v>162254.399</v>
      </c>
      <c r="D106" s="379">
        <v>12967.88955</v>
      </c>
      <c r="E106" s="309">
        <f t="shared" si="3"/>
        <v>7.9923192406019137</v>
      </c>
      <c r="F106" s="309">
        <f t="shared" si="4"/>
        <v>-149286.50945000001</v>
      </c>
    </row>
    <row r="107" spans="1:7" ht="38.25">
      <c r="A107" s="35" t="s">
        <v>66</v>
      </c>
      <c r="B107" s="271" t="s">
        <v>67</v>
      </c>
      <c r="C107" s="383">
        <v>1299.4000000000001</v>
      </c>
      <c r="D107" s="379">
        <v>656.89769999999999</v>
      </c>
      <c r="E107" s="309">
        <f t="shared" si="3"/>
        <v>50.55392488841003</v>
      </c>
      <c r="F107" s="309">
        <f t="shared" si="4"/>
        <v>-642.5023000000001</v>
      </c>
    </row>
    <row r="108" spans="1:7" s="6" customFormat="1" ht="37.5">
      <c r="A108" s="30" t="s">
        <v>68</v>
      </c>
      <c r="B108" s="269" t="s">
        <v>69</v>
      </c>
      <c r="C108" s="303">
        <f>SUM(C109:C111)</f>
        <v>9362.2081500000004</v>
      </c>
      <c r="D108" s="303">
        <f>SUM(D109:D111)</f>
        <v>220.40289000000001</v>
      </c>
      <c r="E108" s="308">
        <f t="shared" si="3"/>
        <v>2.354176348877695</v>
      </c>
      <c r="F108" s="308">
        <f t="shared" si="4"/>
        <v>-9141.805260000001</v>
      </c>
    </row>
    <row r="109" spans="1:7" ht="23.25">
      <c r="A109" s="35" t="s">
        <v>70</v>
      </c>
      <c r="B109" s="275" t="s">
        <v>71</v>
      </c>
      <c r="C109" s="379">
        <v>1577.10176</v>
      </c>
      <c r="D109" s="379">
        <v>220.40289000000001</v>
      </c>
      <c r="E109" s="309">
        <f t="shared" si="3"/>
        <v>13.975185088881013</v>
      </c>
      <c r="F109" s="309">
        <f t="shared" si="4"/>
        <v>-1356.6988699999999</v>
      </c>
    </row>
    <row r="110" spans="1:7" ht="23.25" customHeight="1">
      <c r="A110" s="35" t="s">
        <v>72</v>
      </c>
      <c r="B110" s="275" t="s">
        <v>73</v>
      </c>
      <c r="C110" s="379">
        <v>7785.1063899999999</v>
      </c>
      <c r="D110" s="379">
        <v>0</v>
      </c>
      <c r="E110" s="309">
        <f t="shared" si="3"/>
        <v>0</v>
      </c>
      <c r="F110" s="309">
        <f t="shared" si="4"/>
        <v>-7785.1063899999999</v>
      </c>
    </row>
    <row r="111" spans="1:7" ht="19.5" hidden="1" customHeight="1">
      <c r="A111" s="35" t="s">
        <v>74</v>
      </c>
      <c r="B111" s="271" t="s">
        <v>75</v>
      </c>
      <c r="C111" s="379">
        <v>0</v>
      </c>
      <c r="D111" s="379">
        <v>0</v>
      </c>
      <c r="E111" s="309" t="e">
        <f t="shared" si="3"/>
        <v>#DIV/0!</v>
      </c>
      <c r="F111" s="309">
        <f t="shared" si="4"/>
        <v>0</v>
      </c>
    </row>
    <row r="112" spans="1:7" s="6" customFormat="1" ht="22.5">
      <c r="A112" s="30" t="s">
        <v>76</v>
      </c>
      <c r="B112" s="276" t="s">
        <v>77</v>
      </c>
      <c r="C112" s="382">
        <f>SUM(C113)</f>
        <v>51</v>
      </c>
      <c r="D112" s="382">
        <f>SUM(D113)</f>
        <v>51</v>
      </c>
      <c r="E112" s="308">
        <f t="shared" si="3"/>
        <v>100</v>
      </c>
      <c r="F112" s="308">
        <f t="shared" si="4"/>
        <v>0</v>
      </c>
    </row>
    <row r="113" spans="1:7" ht="38.25">
      <c r="A113" s="35" t="s">
        <v>78</v>
      </c>
      <c r="B113" s="275" t="s">
        <v>79</v>
      </c>
      <c r="C113" s="309">
        <v>51</v>
      </c>
      <c r="D113" s="380">
        <v>51</v>
      </c>
      <c r="E113" s="309">
        <f t="shared" si="3"/>
        <v>100</v>
      </c>
      <c r="F113" s="309">
        <f t="shared" si="4"/>
        <v>0</v>
      </c>
    </row>
    <row r="114" spans="1:7" s="6" customFormat="1" ht="22.5">
      <c r="A114" s="30" t="s">
        <v>80</v>
      </c>
      <c r="B114" s="276" t="s">
        <v>81</v>
      </c>
      <c r="C114" s="382">
        <f>SUM(C115:C119)</f>
        <v>414639.25238999998</v>
      </c>
      <c r="D114" s="382">
        <f>D115+D116+D118+D119+D117</f>
        <v>215464.32412000003</v>
      </c>
      <c r="E114" s="308">
        <f t="shared" si="3"/>
        <v>51.964285310195216</v>
      </c>
      <c r="F114" s="308">
        <f t="shared" si="4"/>
        <v>-199174.92826999995</v>
      </c>
    </row>
    <row r="115" spans="1:7" ht="23.25">
      <c r="A115" s="35" t="s">
        <v>82</v>
      </c>
      <c r="B115" s="275" t="s">
        <v>258</v>
      </c>
      <c r="C115" s="383">
        <v>94366.231979999997</v>
      </c>
      <c r="D115" s="379">
        <v>49851.014799999997</v>
      </c>
      <c r="E115" s="309">
        <f t="shared" si="3"/>
        <v>52.827175308393613</v>
      </c>
      <c r="F115" s="309">
        <f t="shared" si="4"/>
        <v>-44515.21718</v>
      </c>
    </row>
    <row r="116" spans="1:7" ht="23.25">
      <c r="A116" s="35" t="s">
        <v>83</v>
      </c>
      <c r="B116" s="275" t="s">
        <v>259</v>
      </c>
      <c r="C116" s="383">
        <v>288396.30241</v>
      </c>
      <c r="D116" s="379">
        <v>147295.22596000001</v>
      </c>
      <c r="E116" s="309">
        <f t="shared" si="3"/>
        <v>51.073895444955127</v>
      </c>
      <c r="F116" s="309">
        <f t="shared" si="4"/>
        <v>-141101.07644999999</v>
      </c>
    </row>
    <row r="117" spans="1:7" ht="23.25">
      <c r="A117" s="35" t="s">
        <v>335</v>
      </c>
      <c r="B117" s="275" t="s">
        <v>336</v>
      </c>
      <c r="C117" s="383">
        <v>18536.2</v>
      </c>
      <c r="D117" s="379">
        <v>10281.475</v>
      </c>
      <c r="E117" s="309">
        <f t="shared" si="3"/>
        <v>55.467005103527157</v>
      </c>
      <c r="F117" s="309">
        <f t="shared" si="4"/>
        <v>-8254.7250000000004</v>
      </c>
    </row>
    <row r="118" spans="1:7" ht="23.25">
      <c r="A118" s="35" t="s">
        <v>84</v>
      </c>
      <c r="B118" s="275" t="s">
        <v>260</v>
      </c>
      <c r="C118" s="383">
        <v>5226.518</v>
      </c>
      <c r="D118" s="379">
        <v>4326.3855199999998</v>
      </c>
      <c r="E118" s="309">
        <f t="shared" si="3"/>
        <v>82.777587678833214</v>
      </c>
      <c r="F118" s="309">
        <f t="shared" si="4"/>
        <v>-900.13248000000021</v>
      </c>
    </row>
    <row r="119" spans="1:7" ht="23.25">
      <c r="A119" s="35" t="s">
        <v>85</v>
      </c>
      <c r="B119" s="275" t="s">
        <v>261</v>
      </c>
      <c r="C119" s="383">
        <v>8114</v>
      </c>
      <c r="D119" s="379">
        <v>3710.2228399999999</v>
      </c>
      <c r="E119" s="309">
        <f t="shared" si="3"/>
        <v>45.726187330539808</v>
      </c>
      <c r="F119" s="309">
        <f t="shared" si="4"/>
        <v>-4403.7771599999996</v>
      </c>
    </row>
    <row r="120" spans="1:7" s="6" customFormat="1" ht="22.5">
      <c r="A120" s="30" t="s">
        <v>86</v>
      </c>
      <c r="B120" s="269" t="s">
        <v>87</v>
      </c>
      <c r="C120" s="303">
        <f>SUM(C121:C122)</f>
        <v>45080.600429999999</v>
      </c>
      <c r="D120" s="303">
        <f>SUM(D121:D122)</f>
        <v>20719.65366</v>
      </c>
      <c r="E120" s="308">
        <f t="shared" si="3"/>
        <v>45.961352471719948</v>
      </c>
      <c r="F120" s="308">
        <f t="shared" si="4"/>
        <v>-24360.946769999999</v>
      </c>
    </row>
    <row r="121" spans="1:7" ht="23.25">
      <c r="A121" s="35" t="s">
        <v>88</v>
      </c>
      <c r="B121" s="271" t="s">
        <v>234</v>
      </c>
      <c r="C121" s="379">
        <v>44000.600429999999</v>
      </c>
      <c r="D121" s="379">
        <v>20175.80298</v>
      </c>
      <c r="E121" s="309">
        <f t="shared" si="3"/>
        <v>45.853471959087081</v>
      </c>
      <c r="F121" s="309">
        <f t="shared" si="4"/>
        <v>-23824.797449999998</v>
      </c>
    </row>
    <row r="122" spans="1:7" ht="38.25">
      <c r="A122" s="35" t="s">
        <v>273</v>
      </c>
      <c r="B122" s="271" t="s">
        <v>274</v>
      </c>
      <c r="C122" s="379">
        <v>1080</v>
      </c>
      <c r="D122" s="379">
        <v>543.85068000000001</v>
      </c>
      <c r="E122" s="309">
        <f t="shared" si="3"/>
        <v>50.356544444444452</v>
      </c>
      <c r="F122" s="309">
        <f t="shared" si="4"/>
        <v>-536.14931999999999</v>
      </c>
    </row>
    <row r="123" spans="1:7" s="6" customFormat="1" ht="22.5">
      <c r="A123" s="52">
        <v>1000</v>
      </c>
      <c r="B123" s="269" t="s">
        <v>89</v>
      </c>
      <c r="C123" s="303">
        <f>SUM(C124:C127)</f>
        <v>31600.215459999996</v>
      </c>
      <c r="D123" s="384">
        <f>D124+D125+D126+D127</f>
        <v>5387.9820200000004</v>
      </c>
      <c r="E123" s="308">
        <f t="shared" si="3"/>
        <v>17.050459756580409</v>
      </c>
      <c r="F123" s="308">
        <f t="shared" si="4"/>
        <v>-26212.233439999996</v>
      </c>
      <c r="G123" s="94"/>
    </row>
    <row r="124" spans="1:7" ht="23.25">
      <c r="A124" s="53">
        <v>1001</v>
      </c>
      <c r="B124" s="277" t="s">
        <v>90</v>
      </c>
      <c r="C124" s="379">
        <v>20</v>
      </c>
      <c r="D124" s="379">
        <v>15.01993</v>
      </c>
      <c r="E124" s="309">
        <f t="shared" si="3"/>
        <v>75.099650000000011</v>
      </c>
      <c r="F124" s="309">
        <f t="shared" si="4"/>
        <v>-4.9800699999999996</v>
      </c>
    </row>
    <row r="125" spans="1:7" ht="23.25">
      <c r="A125" s="53">
        <v>1003</v>
      </c>
      <c r="B125" s="277" t="s">
        <v>91</v>
      </c>
      <c r="C125" s="379">
        <v>26410.543389999999</v>
      </c>
      <c r="D125" s="379">
        <v>4853.2720099999997</v>
      </c>
      <c r="E125" s="309">
        <f t="shared" si="3"/>
        <v>18.376267153358256</v>
      </c>
      <c r="F125" s="309">
        <f t="shared" si="4"/>
        <v>-21557.271379999998</v>
      </c>
    </row>
    <row r="126" spans="1:7" ht="23.25">
      <c r="A126" s="53">
        <v>1004</v>
      </c>
      <c r="B126" s="277" t="s">
        <v>92</v>
      </c>
      <c r="C126" s="379">
        <v>4817.8770699999995</v>
      </c>
      <c r="D126" s="385">
        <v>456.35032999999999</v>
      </c>
      <c r="E126" s="309">
        <f t="shared" si="3"/>
        <v>9.4720210451529852</v>
      </c>
      <c r="F126" s="309">
        <f t="shared" si="4"/>
        <v>-4361.5267399999993</v>
      </c>
    </row>
    <row r="127" spans="1:7" ht="24.75" customHeight="1">
      <c r="A127" s="35" t="s">
        <v>93</v>
      </c>
      <c r="B127" s="271" t="s">
        <v>94</v>
      </c>
      <c r="C127" s="379">
        <v>351.79500000000002</v>
      </c>
      <c r="D127" s="379">
        <v>63.339750000000002</v>
      </c>
      <c r="E127" s="309">
        <f t="shared" si="3"/>
        <v>18.004732869995308</v>
      </c>
      <c r="F127" s="309">
        <f t="shared" si="4"/>
        <v>-288.45525000000004</v>
      </c>
    </row>
    <row r="128" spans="1:7" ht="23.25">
      <c r="A128" s="30" t="s">
        <v>95</v>
      </c>
      <c r="B128" s="269" t="s">
        <v>96</v>
      </c>
      <c r="C128" s="303">
        <f>C129+C130</f>
        <v>5760.3426099999997</v>
      </c>
      <c r="D128" s="303">
        <f>D129+D130</f>
        <v>3487.8199000000004</v>
      </c>
      <c r="E128" s="309">
        <f t="shared" si="3"/>
        <v>60.548827320533292</v>
      </c>
      <c r="F128" s="303">
        <f>F129+F130+F131+F132+F133</f>
        <v>-2272.5227099999993</v>
      </c>
    </row>
    <row r="129" spans="1:7" ht="23.25">
      <c r="A129" s="35" t="s">
        <v>97</v>
      </c>
      <c r="B129" s="271" t="s">
        <v>98</v>
      </c>
      <c r="C129" s="379">
        <v>400</v>
      </c>
      <c r="D129" s="379">
        <v>208.22290000000001</v>
      </c>
      <c r="E129" s="309">
        <f t="shared" si="3"/>
        <v>52.055724999999995</v>
      </c>
      <c r="F129" s="309">
        <f t="shared" ref="F129:F137" si="5">SUM(D129-C129)</f>
        <v>-191.77709999999999</v>
      </c>
    </row>
    <row r="130" spans="1:7" ht="20.25" customHeight="1">
      <c r="A130" s="35" t="s">
        <v>99</v>
      </c>
      <c r="B130" s="271" t="s">
        <v>100</v>
      </c>
      <c r="C130" s="379">
        <v>5360.3426099999997</v>
      </c>
      <c r="D130" s="379">
        <v>3279.5970000000002</v>
      </c>
      <c r="E130" s="309">
        <f t="shared" si="3"/>
        <v>61.182600415908873</v>
      </c>
      <c r="F130" s="309">
        <f t="shared" si="5"/>
        <v>-2080.7456099999995</v>
      </c>
    </row>
    <row r="131" spans="1:7" ht="15.75" hidden="1" customHeight="1">
      <c r="A131" s="35" t="s">
        <v>101</v>
      </c>
      <c r="B131" s="271" t="s">
        <v>102</v>
      </c>
      <c r="C131" s="379">
        <f>SUM(C121:C122)</f>
        <v>45080.600429999999</v>
      </c>
      <c r="D131" s="379"/>
      <c r="E131" s="309">
        <f t="shared" si="3"/>
        <v>0</v>
      </c>
      <c r="F131" s="309"/>
    </row>
    <row r="132" spans="1:7" ht="15.75" hidden="1" customHeight="1">
      <c r="A132" s="35" t="s">
        <v>103</v>
      </c>
      <c r="B132" s="271" t="s">
        <v>104</v>
      </c>
      <c r="C132" s="379"/>
      <c r="D132" s="379"/>
      <c r="E132" s="309" t="e">
        <f t="shared" si="3"/>
        <v>#DIV/0!</v>
      </c>
      <c r="F132" s="309"/>
    </row>
    <row r="133" spans="1:7" ht="15.75" hidden="1" customHeight="1">
      <c r="A133" s="35" t="s">
        <v>105</v>
      </c>
      <c r="B133" s="271" t="s">
        <v>106</v>
      </c>
      <c r="C133" s="379"/>
      <c r="D133" s="379"/>
      <c r="E133" s="309" t="e">
        <f t="shared" si="3"/>
        <v>#DIV/0!</v>
      </c>
      <c r="F133" s="309"/>
    </row>
    <row r="134" spans="1:7" ht="20.25" customHeight="1">
      <c r="A134" s="30" t="s">
        <v>107</v>
      </c>
      <c r="B134" s="269" t="s">
        <v>108</v>
      </c>
      <c r="C134" s="303">
        <f>C135</f>
        <v>80</v>
      </c>
      <c r="D134" s="386">
        <f>D135</f>
        <v>0</v>
      </c>
      <c r="E134" s="309">
        <f>SUM(D134/C134*100)</f>
        <v>0</v>
      </c>
      <c r="F134" s="309">
        <f t="shared" si="5"/>
        <v>-80</v>
      </c>
    </row>
    <row r="135" spans="1:7" ht="22.5" customHeight="1">
      <c r="A135" s="35" t="s">
        <v>109</v>
      </c>
      <c r="B135" s="271" t="s">
        <v>110</v>
      </c>
      <c r="C135" s="379">
        <v>80</v>
      </c>
      <c r="D135" s="379">
        <v>0</v>
      </c>
      <c r="E135" s="309">
        <f t="shared" si="3"/>
        <v>0</v>
      </c>
      <c r="F135" s="309">
        <f t="shared" si="5"/>
        <v>-80</v>
      </c>
    </row>
    <row r="136" spans="1:7" ht="19.5" hidden="1" customHeight="1">
      <c r="A136" s="30" t="s">
        <v>111</v>
      </c>
      <c r="B136" s="272" t="s">
        <v>112</v>
      </c>
      <c r="C136" s="387">
        <f>C137</f>
        <v>0</v>
      </c>
      <c r="D136" s="387">
        <f>D137</f>
        <v>0</v>
      </c>
      <c r="E136" s="309" t="e">
        <f t="shared" si="3"/>
        <v>#DIV/0!</v>
      </c>
      <c r="F136" s="308">
        <f t="shared" si="5"/>
        <v>0</v>
      </c>
    </row>
    <row r="137" spans="1:7" ht="37.5" hidden="1" customHeight="1">
      <c r="A137" s="35" t="s">
        <v>113</v>
      </c>
      <c r="B137" s="273" t="s">
        <v>114</v>
      </c>
      <c r="C137" s="380">
        <v>0</v>
      </c>
      <c r="D137" s="380">
        <v>0</v>
      </c>
      <c r="E137" s="308"/>
      <c r="F137" s="309">
        <f t="shared" si="5"/>
        <v>0</v>
      </c>
    </row>
    <row r="138" spans="1:7" s="6" customFormat="1" ht="19.5" customHeight="1">
      <c r="A138" s="52">
        <v>1400</v>
      </c>
      <c r="B138" s="278" t="s">
        <v>115</v>
      </c>
      <c r="C138" s="382">
        <f>C139+C140+C141</f>
        <v>34534.699000000001</v>
      </c>
      <c r="D138" s="382">
        <f>D139+D140+D141</f>
        <v>19539.350000000002</v>
      </c>
      <c r="E138" s="308">
        <f t="shared" si="3"/>
        <v>56.578891855985205</v>
      </c>
      <c r="F138" s="308">
        <f t="shared" si="4"/>
        <v>-14995.348999999998</v>
      </c>
    </row>
    <row r="139" spans="1:7" ht="40.5" customHeight="1">
      <c r="A139" s="53">
        <v>1401</v>
      </c>
      <c r="B139" s="277" t="s">
        <v>116</v>
      </c>
      <c r="C139" s="383">
        <v>28169.9</v>
      </c>
      <c r="D139" s="379">
        <v>17742.400000000001</v>
      </c>
      <c r="E139" s="309">
        <f t="shared" si="3"/>
        <v>62.983539167693181</v>
      </c>
      <c r="F139" s="309">
        <f t="shared" si="4"/>
        <v>-10427.5</v>
      </c>
    </row>
    <row r="140" spans="1:7" ht="24.75" customHeight="1">
      <c r="A140" s="53">
        <v>1402</v>
      </c>
      <c r="B140" s="277" t="s">
        <v>117</v>
      </c>
      <c r="C140" s="383">
        <v>5528.299</v>
      </c>
      <c r="D140" s="379">
        <v>1733.5</v>
      </c>
      <c r="E140" s="309">
        <f t="shared" si="3"/>
        <v>31.356842312617317</v>
      </c>
      <c r="F140" s="309">
        <f t="shared" si="4"/>
        <v>-3794.799</v>
      </c>
    </row>
    <row r="141" spans="1:7" ht="27" customHeight="1">
      <c r="A141" s="53">
        <v>1403</v>
      </c>
      <c r="B141" s="277" t="s">
        <v>118</v>
      </c>
      <c r="C141" s="383">
        <v>836.5</v>
      </c>
      <c r="D141" s="379">
        <v>63.45</v>
      </c>
      <c r="E141" s="309">
        <f t="shared" si="3"/>
        <v>7.5851763299462043</v>
      </c>
      <c r="F141" s="309">
        <f t="shared" si="4"/>
        <v>-773.05</v>
      </c>
    </row>
    <row r="142" spans="1:7" s="6" customFormat="1" ht="22.5">
      <c r="A142" s="52"/>
      <c r="B142" s="279" t="s">
        <v>119</v>
      </c>
      <c r="C142" s="388">
        <f>C87+C95+C97+C103+C108+C112+C114+C120+C123+C128+C134+C136+C138</f>
        <v>750046.75104</v>
      </c>
      <c r="D142" s="388">
        <f>D87+D95+D97+D103+D108+D112+D114+D120+D123+D128+D134+D136+D138</f>
        <v>299293.77296999999</v>
      </c>
      <c r="E142" s="308">
        <f t="shared" si="3"/>
        <v>39.903349031911034</v>
      </c>
      <c r="F142" s="308">
        <f t="shared" si="4"/>
        <v>-450752.97807000001</v>
      </c>
      <c r="G142" s="94"/>
    </row>
    <row r="143" spans="1:7">
      <c r="C143" s="365"/>
      <c r="D143" s="366"/>
    </row>
    <row r="144" spans="1:7" s="65" customFormat="1" ht="12.75">
      <c r="A144" s="63" t="s">
        <v>120</v>
      </c>
      <c r="B144" s="63"/>
      <c r="C144" s="256"/>
      <c r="D144" s="256"/>
    </row>
    <row r="145" spans="1:4" s="65" customFormat="1" ht="12.75">
      <c r="A145" s="66" t="s">
        <v>121</v>
      </c>
      <c r="B145" s="66"/>
      <c r="C145" s="256" t="s">
        <v>122</v>
      </c>
      <c r="D145" s="256"/>
    </row>
  </sheetData>
  <customSheetViews>
    <customSheetView guid="{A54C432C-6C68-4B53-A75C-446EB3A61B2B}" scale="60" showPageBreaks="1" hiddenRows="1" view="pageBreakPreview" topLeftCell="A68">
      <selection activeCell="B77" sqref="B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5BFCA170-DEAE-4D2C-98A0-1E68B427AC01}" scale="67" showPageBreaks="1" hiddenRows="1" view="pageBreakPreview" topLeftCell="A106">
      <selection activeCell="D139" sqref="D139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2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45" orientation="portrait" r:id="rId5"/>
  <headerFooter alignWithMargins="0"/>
  <rowBreaks count="1" manualBreakCount="1">
    <brk id="6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99"/>
  <sheetViews>
    <sheetView view="pageBreakPreview" topLeftCell="A30" zoomScale="70" zoomScaleSheetLayoutView="70" workbookViewId="0">
      <selection activeCell="A43" sqref="A43:B4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452" t="s">
        <v>366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536.89</v>
      </c>
      <c r="D4" s="5">
        <f>D5+D12+D14+D17+D20+D7</f>
        <v>159.4589</v>
      </c>
      <c r="E4" s="5">
        <f>SUM(D4/C4*100)</f>
        <v>29.70047868278418</v>
      </c>
      <c r="F4" s="5">
        <f>SUM(D4-C4)</f>
        <v>-377.43110000000001</v>
      </c>
    </row>
    <row r="5" spans="1:6" s="6" customFormat="1">
      <c r="A5" s="68">
        <v>1010000000</v>
      </c>
      <c r="B5" s="67" t="s">
        <v>6</v>
      </c>
      <c r="C5" s="5">
        <f>C6</f>
        <v>59</v>
      </c>
      <c r="D5" s="5">
        <f>D6</f>
        <v>27.875630000000001</v>
      </c>
      <c r="E5" s="5">
        <f t="shared" ref="E5:E47" si="0">SUM(D5/C5*100)</f>
        <v>47.246830508474581</v>
      </c>
      <c r="F5" s="5">
        <f t="shared" ref="F5:F47" si="1">SUM(D5-C5)</f>
        <v>-31.124369999999999</v>
      </c>
    </row>
    <row r="6" spans="1:6">
      <c r="A6" s="7">
        <v>1010200001</v>
      </c>
      <c r="B6" s="8" t="s">
        <v>229</v>
      </c>
      <c r="C6" s="9">
        <v>59</v>
      </c>
      <c r="D6" s="10">
        <v>27.875630000000001</v>
      </c>
      <c r="E6" s="9">
        <f t="shared" ref="E6:E11" si="2">SUM(D6/C6*100)</f>
        <v>47.246830508474581</v>
      </c>
      <c r="F6" s="9">
        <f t="shared" si="1"/>
        <v>-31.124369999999999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106.27964999999999</v>
      </c>
      <c r="E7" s="9">
        <f t="shared" si="2"/>
        <v>48.333098367365501</v>
      </c>
      <c r="F7" s="9">
        <f t="shared" si="1"/>
        <v>-113.61035</v>
      </c>
    </row>
    <row r="8" spans="1:6">
      <c r="A8" s="7">
        <v>1030223001</v>
      </c>
      <c r="B8" s="8" t="s">
        <v>283</v>
      </c>
      <c r="C8" s="9">
        <v>82.02</v>
      </c>
      <c r="D8" s="10">
        <v>46.059350000000002</v>
      </c>
      <c r="E8" s="9">
        <f t="shared" si="2"/>
        <v>56.15624237990734</v>
      </c>
      <c r="F8" s="9">
        <f t="shared" si="1"/>
        <v>-35.960649999999994</v>
      </c>
    </row>
    <row r="9" spans="1:6">
      <c r="A9" s="7">
        <v>1030224001</v>
      </c>
      <c r="B9" s="8" t="s">
        <v>287</v>
      </c>
      <c r="C9" s="9">
        <v>0.88</v>
      </c>
      <c r="D9" s="10">
        <v>0.34916999999999998</v>
      </c>
      <c r="E9" s="9">
        <f t="shared" si="2"/>
        <v>39.678409090909092</v>
      </c>
      <c r="F9" s="9">
        <f t="shared" si="1"/>
        <v>-0.53083000000000002</v>
      </c>
    </row>
    <row r="10" spans="1:6">
      <c r="A10" s="7">
        <v>1030225001</v>
      </c>
      <c r="B10" s="8" t="s">
        <v>282</v>
      </c>
      <c r="C10" s="9">
        <v>136.99</v>
      </c>
      <c r="D10" s="10">
        <v>69.440889999999996</v>
      </c>
      <c r="E10" s="9">
        <f t="shared" si="2"/>
        <v>50.690481057011446</v>
      </c>
      <c r="F10" s="9">
        <f t="shared" si="1"/>
        <v>-67.549110000000013</v>
      </c>
    </row>
    <row r="11" spans="1:6">
      <c r="A11" s="7">
        <v>1030226001</v>
      </c>
      <c r="B11" s="8" t="s">
        <v>288</v>
      </c>
      <c r="C11" s="9">
        <v>0</v>
      </c>
      <c r="D11" s="10">
        <v>-9.5697600000000005</v>
      </c>
      <c r="E11" s="9" t="e">
        <f t="shared" si="2"/>
        <v>#DIV/0!</v>
      </c>
      <c r="F11" s="9">
        <f t="shared" si="1"/>
        <v>-9.5697600000000005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22.403620000000004</v>
      </c>
      <c r="E14" s="5">
        <f t="shared" si="0"/>
        <v>8.9614480000000007</v>
      </c>
      <c r="F14" s="5">
        <f t="shared" si="1"/>
        <v>-227.59638000000001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f>1.19411+0.24176</f>
        <v>1.43587</v>
      </c>
      <c r="E15" s="9">
        <f t="shared" si="0"/>
        <v>3.5896749999999997</v>
      </c>
      <c r="F15" s="9">
        <f>SUM(D15-C15)</f>
        <v>-38.564129999999999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f>4.835+15.67971+0.45304</f>
        <v>20.967750000000002</v>
      </c>
      <c r="E16" s="9">
        <f t="shared" si="0"/>
        <v>9.9846428571428589</v>
      </c>
      <c r="F16" s="9">
        <f t="shared" si="1"/>
        <v>-189.03225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2.9</v>
      </c>
      <c r="E17" s="9">
        <f t="shared" si="0"/>
        <v>96.666666666666671</v>
      </c>
      <c r="F17" s="5">
        <f t="shared" si="1"/>
        <v>-0.10000000000000009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2.9</v>
      </c>
      <c r="E18" s="9">
        <f t="shared" si="0"/>
        <v>96.666666666666671</v>
      </c>
      <c r="F18" s="9">
        <f t="shared" si="1"/>
        <v>-0.10000000000000009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42.150399999999998</v>
      </c>
      <c r="E25" s="5">
        <f t="shared" si="0"/>
        <v>75.268571428571434</v>
      </c>
      <c r="F25" s="5">
        <f t="shared" si="1"/>
        <v>-13.849600000000002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hidden="1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5">
        <f>D35+D36</f>
        <v>42.150399999999998</v>
      </c>
      <c r="E34" s="9" t="e">
        <f t="shared" si="0"/>
        <v>#DIV/0!</v>
      </c>
      <c r="F34" s="5">
        <f t="shared" si="1"/>
        <v>42.150399999999998</v>
      </c>
    </row>
    <row r="35" spans="1:11">
      <c r="A35" s="7">
        <v>1170105005</v>
      </c>
      <c r="B35" s="8" t="s">
        <v>18</v>
      </c>
      <c r="C35" s="9">
        <v>0</v>
      </c>
      <c r="D35" s="9">
        <v>42.150399999999998</v>
      </c>
      <c r="E35" s="9" t="e">
        <f t="shared" si="0"/>
        <v>#DIV/0!</v>
      </c>
      <c r="F35" s="9">
        <f t="shared" si="1"/>
        <v>42.150399999999998</v>
      </c>
    </row>
    <row r="36" spans="1:11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592.89</v>
      </c>
      <c r="D37" s="127">
        <f>SUM(D4,D25)</f>
        <v>201.60929999999999</v>
      </c>
      <c r="E37" s="5">
        <f t="shared" si="0"/>
        <v>34.004503364873749</v>
      </c>
      <c r="F37" s="5">
        <f t="shared" si="1"/>
        <v>-391.28070000000002</v>
      </c>
    </row>
    <row r="38" spans="1:11" s="6" customFormat="1">
      <c r="A38" s="3">
        <v>2000000000</v>
      </c>
      <c r="B38" s="4" t="s">
        <v>20</v>
      </c>
      <c r="C38" s="5">
        <f>C39+C40+C41+C42+C43+C44</f>
        <v>2672.1749999999997</v>
      </c>
      <c r="D38" s="5">
        <f>D39+D40+D41+D42+D43+D45</f>
        <v>1562.4814100000001</v>
      </c>
      <c r="E38" s="5">
        <f t="shared" si="0"/>
        <v>58.472271090029672</v>
      </c>
      <c r="F38" s="5">
        <f t="shared" si="1"/>
        <v>-1109.6935899999996</v>
      </c>
      <c r="G38" s="19"/>
    </row>
    <row r="39" spans="1:11">
      <c r="A39" s="16">
        <v>2021000000</v>
      </c>
      <c r="B39" s="17" t="s">
        <v>21</v>
      </c>
      <c r="C39" s="99">
        <f>1154.1+45.954</f>
        <v>1200.0539999999999</v>
      </c>
      <c r="D39" s="20">
        <v>726.97</v>
      </c>
      <c r="E39" s="9">
        <f t="shared" si="0"/>
        <v>60.578107318504017</v>
      </c>
      <c r="F39" s="9">
        <f t="shared" si="1"/>
        <v>-473.08399999999983</v>
      </c>
    </row>
    <row r="40" spans="1:11">
      <c r="A40" s="16">
        <v>2021500200</v>
      </c>
      <c r="B40" s="17" t="s">
        <v>232</v>
      </c>
      <c r="C40" s="12">
        <v>746.60500000000002</v>
      </c>
      <c r="D40" s="20">
        <v>585</v>
      </c>
      <c r="E40" s="9">
        <f>SUM(D40/C40*100)</f>
        <v>78.354685543225671</v>
      </c>
      <c r="F40" s="9">
        <f>SUM(D40-C40)</f>
        <v>-161.60500000000002</v>
      </c>
    </row>
    <row r="41" spans="1:11">
      <c r="A41" s="16">
        <v>2022000000</v>
      </c>
      <c r="B41" s="17" t="s">
        <v>22</v>
      </c>
      <c r="C41" s="12">
        <v>512.54</v>
      </c>
      <c r="D41" s="10">
        <v>84.132999999999996</v>
      </c>
      <c r="E41" s="9">
        <f t="shared" si="0"/>
        <v>16.414913957934989</v>
      </c>
      <c r="F41" s="9">
        <f t="shared" si="1"/>
        <v>-428.40699999999998</v>
      </c>
    </row>
    <row r="42" spans="1:11" ht="19.5" customHeight="1">
      <c r="A42" s="16">
        <v>2023000000</v>
      </c>
      <c r="B42" s="17" t="s">
        <v>23</v>
      </c>
      <c r="C42" s="12">
        <f>2.38+70.596</f>
        <v>72.975999999999999</v>
      </c>
      <c r="D42" s="252">
        <v>35.545999999999999</v>
      </c>
      <c r="E42" s="9">
        <f t="shared" si="0"/>
        <v>48.709164656873497</v>
      </c>
      <c r="F42" s="9">
        <f t="shared" si="1"/>
        <v>-37.43</v>
      </c>
    </row>
    <row r="43" spans="1:11">
      <c r="A43" s="7">
        <v>2070500010</v>
      </c>
      <c r="B43" s="17" t="s">
        <v>359</v>
      </c>
      <c r="C43" s="12">
        <v>140</v>
      </c>
      <c r="D43" s="253">
        <v>133</v>
      </c>
      <c r="E43" s="9">
        <f t="shared" si="0"/>
        <v>95</v>
      </c>
      <c r="F43" s="9">
        <f t="shared" si="1"/>
        <v>-7</v>
      </c>
    </row>
    <row r="44" spans="1:11" ht="15.75" hidden="1" customHeight="1">
      <c r="A44" s="16">
        <v>2022999910</v>
      </c>
      <c r="B44" s="18" t="s">
        <v>352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7">
        <v>0</v>
      </c>
      <c r="D45" s="335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8">
        <v>0</v>
      </c>
      <c r="D46" s="349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93">
        <f>C37+C38</f>
        <v>3265.0649999999996</v>
      </c>
      <c r="D47" s="401">
        <f>D37+D38</f>
        <v>1764.0907100000002</v>
      </c>
      <c r="E47" s="5">
        <f t="shared" si="0"/>
        <v>54.029267717488025</v>
      </c>
      <c r="F47" s="5">
        <f t="shared" si="1"/>
        <v>-1500.9742899999994</v>
      </c>
      <c r="G47" s="300"/>
      <c r="H47" s="300"/>
      <c r="K47" s="130"/>
    </row>
    <row r="48" spans="1:11" s="6" customFormat="1">
      <c r="A48" s="3"/>
      <c r="B48" s="21" t="s">
        <v>322</v>
      </c>
      <c r="C48" s="93">
        <f>C47-C93</f>
        <v>-23.635540000000219</v>
      </c>
      <c r="D48" s="93">
        <f>D47-D93</f>
        <v>208.91916000000015</v>
      </c>
      <c r="E48" s="22"/>
      <c r="F48" s="22"/>
    </row>
    <row r="49" spans="1:6">
      <c r="A49" s="23"/>
      <c r="B49" s="24"/>
      <c r="C49" s="251"/>
      <c r="D49" s="251"/>
      <c r="E49" s="26"/>
      <c r="F49" s="92"/>
    </row>
    <row r="50" spans="1:6" ht="50.25" customHeight="1">
      <c r="A50" s="28" t="s">
        <v>1</v>
      </c>
      <c r="B50" s="28" t="s">
        <v>29</v>
      </c>
      <c r="C50" s="244" t="s">
        <v>346</v>
      </c>
      <c r="D50" s="245" t="s">
        <v>361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247">
        <f>C54+C57+C58+C59</f>
        <v>1072.2360000000001</v>
      </c>
      <c r="D52" s="32">
        <f>D54+D57+D58+D59</f>
        <v>519.36524999999995</v>
      </c>
      <c r="E52" s="34">
        <f>SUM(D52/C52*100)</f>
        <v>48.437587434109645</v>
      </c>
      <c r="F52" s="34">
        <f>SUM(D52-C52)</f>
        <v>-552.87075000000016</v>
      </c>
    </row>
    <row r="53" spans="1:6" s="6" customFormat="1" ht="31.5" hidden="1">
      <c r="A53" s="35" t="s">
        <v>32</v>
      </c>
      <c r="B53" s="36" t="s">
        <v>33</v>
      </c>
      <c r="C53" s="37"/>
      <c r="D53" s="37"/>
      <c r="E53" s="38"/>
      <c r="F53" s="38"/>
    </row>
    <row r="54" spans="1:6" ht="16.5" customHeight="1">
      <c r="A54" s="35" t="s">
        <v>34</v>
      </c>
      <c r="B54" s="39" t="s">
        <v>35</v>
      </c>
      <c r="C54" s="37">
        <v>1064.854</v>
      </c>
      <c r="D54" s="37">
        <v>516.98374999999999</v>
      </c>
      <c r="E54" s="38">
        <f>SUM(D54/C54*100)</f>
        <v>48.549730761212331</v>
      </c>
      <c r="F54" s="38">
        <f t="shared" ref="F54:F93" si="3">SUM(D54-C54)</f>
        <v>-547.87025000000006</v>
      </c>
    </row>
    <row r="55" spans="1:6" ht="0.75" hidden="1" customHeight="1">
      <c r="A55" s="35" t="s">
        <v>36</v>
      </c>
      <c r="B55" s="39" t="s">
        <v>37</v>
      </c>
      <c r="C55" s="37"/>
      <c r="D55" s="37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37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hidden="1" customHeight="1">
      <c r="A57" s="35" t="s">
        <v>40</v>
      </c>
      <c r="B57" s="39" t="s">
        <v>41</v>
      </c>
      <c r="C57" s="37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0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37">
        <v>2.3820000000000001</v>
      </c>
      <c r="D59" s="37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32">
        <f>C61</f>
        <v>70.596000000000004</v>
      </c>
      <c r="D60" s="32">
        <f>D61</f>
        <v>33.984499999999997</v>
      </c>
      <c r="E60" s="34">
        <f t="shared" si="4"/>
        <v>48.139412997903555</v>
      </c>
      <c r="F60" s="34">
        <f t="shared" si="3"/>
        <v>-36.611500000000007</v>
      </c>
    </row>
    <row r="61" spans="1:6">
      <c r="A61" s="43" t="s">
        <v>48</v>
      </c>
      <c r="B61" s="44" t="s">
        <v>49</v>
      </c>
      <c r="C61" s="37">
        <v>70.596000000000004</v>
      </c>
      <c r="D61" s="37">
        <v>33.984499999999997</v>
      </c>
      <c r="E61" s="38">
        <f t="shared" si="4"/>
        <v>48.139412997903555</v>
      </c>
      <c r="F61" s="38">
        <f t="shared" si="3"/>
        <v>-36.611500000000007</v>
      </c>
    </row>
    <row r="62" spans="1:6" s="6" customFormat="1" ht="16.5" customHeight="1">
      <c r="A62" s="30" t="s">
        <v>50</v>
      </c>
      <c r="B62" s="31" t="s">
        <v>51</v>
      </c>
      <c r="C62" s="32">
        <f>C65+C66</f>
        <v>3.9</v>
      </c>
      <c r="D62" s="32">
        <f>D65+D66</f>
        <v>0</v>
      </c>
      <c r="E62" s="34">
        <f t="shared" si="4"/>
        <v>0</v>
      </c>
      <c r="F62" s="34">
        <f t="shared" si="3"/>
        <v>-3.9</v>
      </c>
    </row>
    <row r="63" spans="1:6" ht="13.5" hidden="1" customHeight="1">
      <c r="A63" s="35" t="s">
        <v>52</v>
      </c>
      <c r="B63" s="39" t="s">
        <v>53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37">
        <v>2.9</v>
      </c>
      <c r="D65" s="37">
        <v>0</v>
      </c>
      <c r="E65" s="34">
        <f t="shared" si="4"/>
        <v>0</v>
      </c>
      <c r="F65" s="34">
        <f t="shared" si="3"/>
        <v>-2.9</v>
      </c>
    </row>
    <row r="66" spans="1:7" ht="15.75" customHeight="1">
      <c r="A66" s="46" t="s">
        <v>219</v>
      </c>
      <c r="B66" s="47" t="s">
        <v>220</v>
      </c>
      <c r="C66" s="37">
        <v>1</v>
      </c>
      <c r="D66" s="37">
        <v>0</v>
      </c>
      <c r="E66" s="38">
        <f t="shared" si="4"/>
        <v>0</v>
      </c>
      <c r="F66" s="38">
        <f t="shared" si="3"/>
        <v>-1</v>
      </c>
    </row>
    <row r="67" spans="1:7" s="6" customFormat="1">
      <c r="A67" s="30" t="s">
        <v>58</v>
      </c>
      <c r="B67" s="31" t="s">
        <v>59</v>
      </c>
      <c r="C67" s="48">
        <f>C70+C71+C68+C69</f>
        <v>1015.35754</v>
      </c>
      <c r="D67" s="48">
        <f>D70+D71+D68</f>
        <v>140.22257999999999</v>
      </c>
      <c r="E67" s="34">
        <f t="shared" si="4"/>
        <v>13.810167795671266</v>
      </c>
      <c r="F67" s="34">
        <f t="shared" si="3"/>
        <v>-875.13495999999998</v>
      </c>
    </row>
    <row r="68" spans="1:7" ht="16.5" customHeight="1">
      <c r="A68" s="35" t="s">
        <v>60</v>
      </c>
      <c r="B68" s="39" t="s">
        <v>61</v>
      </c>
      <c r="C68" s="49">
        <v>6.93</v>
      </c>
      <c r="D68" s="37">
        <v>0</v>
      </c>
      <c r="E68" s="38">
        <f t="shared" si="4"/>
        <v>0</v>
      </c>
      <c r="F68" s="38">
        <f t="shared" si="3"/>
        <v>-6.93</v>
      </c>
    </row>
    <row r="69" spans="1:7" s="6" customFormat="1">
      <c r="A69" s="35" t="s">
        <v>62</v>
      </c>
      <c r="B69" s="39" t="s">
        <v>63</v>
      </c>
      <c r="C69" s="49">
        <v>65.105000000000004</v>
      </c>
      <c r="D69" s="37">
        <v>0</v>
      </c>
      <c r="E69" s="38">
        <f t="shared" si="4"/>
        <v>0</v>
      </c>
      <c r="F69" s="38">
        <f t="shared" si="3"/>
        <v>-65.105000000000004</v>
      </c>
      <c r="G69" s="50"/>
    </row>
    <row r="70" spans="1:7" ht="18.75" customHeight="1">
      <c r="A70" s="35" t="s">
        <v>64</v>
      </c>
      <c r="B70" s="39" t="s">
        <v>65</v>
      </c>
      <c r="C70" s="49">
        <v>923.36554000000001</v>
      </c>
      <c r="D70" s="37">
        <v>140.22257999999999</v>
      </c>
      <c r="E70" s="38">
        <f t="shared" si="4"/>
        <v>15.186031308900697</v>
      </c>
      <c r="F70" s="38">
        <f t="shared" si="3"/>
        <v>-783.14296000000002</v>
      </c>
    </row>
    <row r="71" spans="1:7">
      <c r="A71" s="35" t="s">
        <v>66</v>
      </c>
      <c r="B71" s="39" t="s">
        <v>67</v>
      </c>
      <c r="C71" s="49">
        <v>19.957000000000001</v>
      </c>
      <c r="D71" s="37">
        <v>0</v>
      </c>
      <c r="E71" s="38">
        <f t="shared" si="4"/>
        <v>0</v>
      </c>
      <c r="F71" s="38">
        <f t="shared" si="3"/>
        <v>-19.957000000000001</v>
      </c>
    </row>
    <row r="72" spans="1:7" s="6" customFormat="1" ht="21" customHeight="1">
      <c r="A72" s="30" t="s">
        <v>68</v>
      </c>
      <c r="B72" s="31" t="s">
        <v>69</v>
      </c>
      <c r="C72" s="32">
        <f>C75</f>
        <v>256.11099999999999</v>
      </c>
      <c r="D72" s="32">
        <f>D75</f>
        <v>172.11322000000001</v>
      </c>
      <c r="E72" s="34">
        <f t="shared" si="4"/>
        <v>67.202587940385229</v>
      </c>
      <c r="F72" s="34">
        <f t="shared" si="3"/>
        <v>-83.997779999999977</v>
      </c>
    </row>
    <row r="73" spans="1:7" ht="0.75" hidden="1" customHeight="1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37">
        <v>256.11099999999999</v>
      </c>
      <c r="D75" s="37">
        <v>172.11322000000001</v>
      </c>
      <c r="E75" s="38">
        <f t="shared" si="4"/>
        <v>67.202587940385229</v>
      </c>
      <c r="F75" s="38">
        <f t="shared" si="3"/>
        <v>-83.997779999999977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689.48599999999999</v>
      </c>
      <c r="E76" s="34">
        <f t="shared" si="4"/>
        <v>79.663316002310808</v>
      </c>
      <c r="F76" s="34">
        <f t="shared" si="3"/>
        <v>-176.01400000000001</v>
      </c>
    </row>
    <row r="77" spans="1:7" ht="17.25" customHeight="1">
      <c r="A77" s="35" t="s">
        <v>88</v>
      </c>
      <c r="B77" s="39" t="s">
        <v>234</v>
      </c>
      <c r="C77" s="37">
        <v>865.5</v>
      </c>
      <c r="D77" s="37">
        <v>689.48599999999999</v>
      </c>
      <c r="E77" s="38">
        <f t="shared" si="4"/>
        <v>79.663316002310808</v>
      </c>
      <c r="F77" s="38">
        <f t="shared" si="3"/>
        <v>-176.01400000000001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6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6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6">
      <c r="A83" s="30" t="s">
        <v>95</v>
      </c>
      <c r="B83" s="31" t="s">
        <v>96</v>
      </c>
      <c r="C83" s="32">
        <f>C84</f>
        <v>5</v>
      </c>
      <c r="D83" s="32">
        <f>D84</f>
        <v>0</v>
      </c>
      <c r="E83" s="38">
        <f t="shared" si="4"/>
        <v>0</v>
      </c>
      <c r="F83" s="22">
        <f>F84+F85+F86+F87+F88</f>
        <v>-5</v>
      </c>
    </row>
    <row r="84" spans="1:6" ht="17.25" customHeight="1">
      <c r="A84" s="35" t="s">
        <v>97</v>
      </c>
      <c r="B84" s="39" t="s">
        <v>98</v>
      </c>
      <c r="C84" s="37">
        <v>5</v>
      </c>
      <c r="D84" s="37">
        <v>0</v>
      </c>
      <c r="E84" s="38">
        <v>0</v>
      </c>
      <c r="F84" s="38">
        <f>SUM(D84-C84)</f>
        <v>-5</v>
      </c>
    </row>
    <row r="85" spans="1:6" ht="15.75" hidden="1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6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6" ht="15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6" ht="15.7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6" s="6" customFormat="1" hidden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6" ht="31.5" hidden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6" ht="15" hidden="1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6" hidden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s="6" customFormat="1">
      <c r="A93" s="52"/>
      <c r="B93" s="57" t="s">
        <v>119</v>
      </c>
      <c r="C93" s="402">
        <f>C52+C60+C62+C67+C72+C76+C83</f>
        <v>3288.7005399999998</v>
      </c>
      <c r="D93" s="402">
        <f>D52+D60+D62+D67+D72+D76+D78+D83+D89</f>
        <v>1555.17155</v>
      </c>
      <c r="E93" s="128">
        <f t="shared" si="4"/>
        <v>47.288329572263216</v>
      </c>
      <c r="F93" s="34">
        <f t="shared" si="3"/>
        <v>-1733.5289899999998</v>
      </c>
    </row>
    <row r="94" spans="1:6">
      <c r="C94" s="126"/>
      <c r="D94" s="101"/>
    </row>
    <row r="95" spans="1:6" s="65" customFormat="1" ht="16.5" customHeight="1">
      <c r="A95" s="63" t="s">
        <v>120</v>
      </c>
      <c r="B95" s="63"/>
      <c r="C95" s="250"/>
      <c r="D95" s="250"/>
    </row>
    <row r="96" spans="1:6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</sheetData>
  <customSheetViews>
    <customSheetView guid="{A54C432C-6C68-4B53-A75C-446EB3A61B2B}" scale="70" showPageBreaks="1" hiddenRows="1" view="pageBreakPreview" topLeftCell="A58">
      <selection activeCell="C93" activeCellId="1" sqref="C47:D48 C93:D93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cale="70" showPageBreaks="1" hiddenRows="1" view="pageBreakPreview">
      <selection activeCell="C83" sqref="C83"/>
      <pageMargins left="0.75" right="0.75" top="0.18" bottom="0.17" header="0.5" footer="0.25"/>
      <pageSetup paperSize="9" scale="63" orientation="portrait" r:id="rId2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3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3"/>
  <sheetViews>
    <sheetView view="pageBreakPreview" topLeftCell="A42" zoomScale="7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0.85546875" style="62" customWidth="1"/>
    <col min="6" max="6" width="10.1406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2" t="s">
        <v>368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135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2639.2200000000003</v>
      </c>
      <c r="D4" s="5">
        <f>D5+D12+D14+D17+D7</f>
        <v>677.65092000000004</v>
      </c>
      <c r="E4" s="5">
        <f>SUM(D4/C4*100)</f>
        <v>25.676181599108826</v>
      </c>
      <c r="F4" s="5">
        <f>SUM(D4-C4)</f>
        <v>-1961.5690800000002</v>
      </c>
    </row>
    <row r="5" spans="1:6" s="6" customFormat="1">
      <c r="A5" s="68">
        <v>1010000000</v>
      </c>
      <c r="B5" s="67" t="s">
        <v>6</v>
      </c>
      <c r="C5" s="5">
        <f>C6</f>
        <v>482.9</v>
      </c>
      <c r="D5" s="5">
        <f>D6</f>
        <v>185.57818</v>
      </c>
      <c r="E5" s="5">
        <f t="shared" ref="E5:E52" si="0">SUM(D5/C5*100)</f>
        <v>38.429939946158626</v>
      </c>
      <c r="F5" s="5">
        <f t="shared" ref="F5:F52" si="1">SUM(D5-C5)</f>
        <v>-297.32182</v>
      </c>
    </row>
    <row r="6" spans="1:6">
      <c r="A6" s="7">
        <v>1010200001</v>
      </c>
      <c r="B6" s="8" t="s">
        <v>229</v>
      </c>
      <c r="C6" s="9">
        <v>482.9</v>
      </c>
      <c r="D6" s="10">
        <v>185.57818</v>
      </c>
      <c r="E6" s="9">
        <f t="shared" ref="E6:E11" si="2">SUM(D6/C6*100)</f>
        <v>38.429939946158626</v>
      </c>
      <c r="F6" s="9">
        <f t="shared" si="1"/>
        <v>-297.32182</v>
      </c>
    </row>
    <row r="7" spans="1:6" ht="31.5">
      <c r="A7" s="3">
        <v>1030000000</v>
      </c>
      <c r="B7" s="13" t="s">
        <v>281</v>
      </c>
      <c r="C7" s="5">
        <f>C8+C10+C9</f>
        <v>559.32000000000005</v>
      </c>
      <c r="D7" s="5">
        <f>D8+D10+D9+D11</f>
        <v>270.34235000000001</v>
      </c>
      <c r="E7" s="5">
        <f t="shared" si="2"/>
        <v>48.334111063434165</v>
      </c>
      <c r="F7" s="5">
        <f t="shared" si="1"/>
        <v>-288.97765000000004</v>
      </c>
    </row>
    <row r="8" spans="1:6">
      <c r="A8" s="7">
        <v>1030223001</v>
      </c>
      <c r="B8" s="8" t="s">
        <v>283</v>
      </c>
      <c r="C8" s="9">
        <v>208.63</v>
      </c>
      <c r="D8" s="10">
        <v>117.16065999999999</v>
      </c>
      <c r="E8" s="9">
        <f t="shared" si="2"/>
        <v>56.157149019795803</v>
      </c>
      <c r="F8" s="9">
        <f t="shared" si="1"/>
        <v>-91.469340000000003</v>
      </c>
    </row>
    <row r="9" spans="1:6">
      <c r="A9" s="7">
        <v>1030224001</v>
      </c>
      <c r="B9" s="8" t="s">
        <v>289</v>
      </c>
      <c r="C9" s="9">
        <v>2.2000000000000002</v>
      </c>
      <c r="D9" s="10">
        <v>0.88817000000000002</v>
      </c>
      <c r="E9" s="9">
        <f t="shared" si="2"/>
        <v>40.371363636363633</v>
      </c>
      <c r="F9" s="9">
        <f t="shared" si="1"/>
        <v>-1.3118300000000001</v>
      </c>
    </row>
    <row r="10" spans="1:6">
      <c r="A10" s="7">
        <v>1030225001</v>
      </c>
      <c r="B10" s="8" t="s">
        <v>282</v>
      </c>
      <c r="C10" s="9">
        <v>348.49</v>
      </c>
      <c r="D10" s="10">
        <v>176.63603000000001</v>
      </c>
      <c r="E10" s="9">
        <f t="shared" si="2"/>
        <v>50.686111509655937</v>
      </c>
      <c r="F10" s="9">
        <f t="shared" si="1"/>
        <v>-171.85397</v>
      </c>
    </row>
    <row r="11" spans="1:6">
      <c r="A11" s="7">
        <v>1030226001</v>
      </c>
      <c r="B11" s="8" t="s">
        <v>291</v>
      </c>
      <c r="C11" s="9">
        <v>0</v>
      </c>
      <c r="D11" s="10">
        <v>-24.342510000000001</v>
      </c>
      <c r="E11" s="9" t="e">
        <f t="shared" si="2"/>
        <v>#DIV/0!</v>
      </c>
      <c r="F11" s="9">
        <f t="shared" si="1"/>
        <v>-24.342510000000001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23.733000000000001</v>
      </c>
      <c r="E12" s="5">
        <f t="shared" si="0"/>
        <v>59.332499999999996</v>
      </c>
      <c r="F12" s="5">
        <f t="shared" si="1"/>
        <v>-16.266999999999999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23.733000000000001</v>
      </c>
      <c r="E13" s="9">
        <f t="shared" si="0"/>
        <v>59.332499999999996</v>
      </c>
      <c r="F13" s="9">
        <f t="shared" si="1"/>
        <v>-16.266999999999999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1545</v>
      </c>
      <c r="D14" s="5">
        <f>D15+D16</f>
        <v>191.19738999999998</v>
      </c>
      <c r="E14" s="5">
        <f t="shared" si="0"/>
        <v>12.375235598705499</v>
      </c>
      <c r="F14" s="5">
        <f t="shared" si="1"/>
        <v>-1353.80261</v>
      </c>
    </row>
    <row r="15" spans="1:6" s="6" customFormat="1" ht="15.75" customHeight="1">
      <c r="A15" s="7">
        <v>1060100000</v>
      </c>
      <c r="B15" s="11" t="s">
        <v>9</v>
      </c>
      <c r="C15" s="9">
        <v>295</v>
      </c>
      <c r="D15" s="10">
        <f>26.78063+0.71544</f>
        <v>27.49607</v>
      </c>
      <c r="E15" s="5">
        <f t="shared" si="0"/>
        <v>9.3207016949152539</v>
      </c>
      <c r="F15" s="9">
        <f>SUM(D15-C15)</f>
        <v>-267.50393000000003</v>
      </c>
    </row>
    <row r="16" spans="1:6" ht="15" customHeight="1">
      <c r="A16" s="7">
        <v>1060600000</v>
      </c>
      <c r="B16" s="11" t="s">
        <v>8</v>
      </c>
      <c r="C16" s="9">
        <f>181.7+1068.3</f>
        <v>1250</v>
      </c>
      <c r="D16" s="10">
        <f>97.639+0.62814+60.64329+4.79089</f>
        <v>163.70131999999998</v>
      </c>
      <c r="E16" s="5">
        <f t="shared" si="0"/>
        <v>13.0961056</v>
      </c>
      <c r="F16" s="9">
        <f t="shared" si="1"/>
        <v>-1086.2986800000001</v>
      </c>
    </row>
    <row r="17" spans="1:6" s="6" customFormat="1" ht="18" customHeight="1">
      <c r="A17" s="3">
        <v>1080000000</v>
      </c>
      <c r="B17" s="4" t="s">
        <v>11</v>
      </c>
      <c r="C17" s="5">
        <f>C18</f>
        <v>12</v>
      </c>
      <c r="D17" s="5">
        <f>D18</f>
        <v>6.8</v>
      </c>
      <c r="E17" s="5">
        <f t="shared" si="0"/>
        <v>56.666666666666664</v>
      </c>
      <c r="F17" s="5">
        <f t="shared" si="1"/>
        <v>-5.2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6.8</v>
      </c>
      <c r="E18" s="9">
        <f t="shared" si="0"/>
        <v>56.666666666666664</v>
      </c>
      <c r="F18" s="9">
        <f t="shared" si="1"/>
        <v>-5.2</v>
      </c>
    </row>
    <row r="19" spans="1:6" ht="30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8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7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1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C26+C30+C32+C37+C35</f>
        <v>1072</v>
      </c>
      <c r="D25" s="5">
        <f>D26+D30+D32+D35+D37</f>
        <v>753.05988000000002</v>
      </c>
      <c r="E25" s="5">
        <f t="shared" si="0"/>
        <v>70.248123134328353</v>
      </c>
      <c r="F25" s="5">
        <f t="shared" si="1"/>
        <v>-318.94011999999998</v>
      </c>
    </row>
    <row r="26" spans="1:6" s="6" customFormat="1" ht="30.75" customHeight="1">
      <c r="A26" s="68">
        <v>1110000000</v>
      </c>
      <c r="B26" s="69" t="s">
        <v>129</v>
      </c>
      <c r="C26" s="5">
        <f>C28+C29</f>
        <v>286</v>
      </c>
      <c r="D26" s="5">
        <f>D28+D29</f>
        <v>38.515000000000001</v>
      </c>
      <c r="E26" s="5">
        <f t="shared" si="0"/>
        <v>13.466783216783218</v>
      </c>
      <c r="F26" s="5">
        <f t="shared" si="1"/>
        <v>-247.48500000000001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12">
        <v>200</v>
      </c>
      <c r="D28" s="10">
        <v>28.4</v>
      </c>
      <c r="E28" s="9">
        <f t="shared" si="0"/>
        <v>14.2</v>
      </c>
      <c r="F28" s="9">
        <f t="shared" si="1"/>
        <v>-171.6</v>
      </c>
    </row>
    <row r="29" spans="1:6">
      <c r="A29" s="7">
        <v>1110503000</v>
      </c>
      <c r="B29" s="11" t="s">
        <v>225</v>
      </c>
      <c r="C29" s="12">
        <v>86</v>
      </c>
      <c r="D29" s="10">
        <v>10.115</v>
      </c>
      <c r="E29" s="9">
        <f>SUM(D29/C29*100)</f>
        <v>11.761627906976745</v>
      </c>
      <c r="F29" s="9">
        <f t="shared" si="1"/>
        <v>-75.885000000000005</v>
      </c>
    </row>
    <row r="30" spans="1:6" s="15" customFormat="1" ht="35.25" customHeight="1">
      <c r="A30" s="68">
        <v>1130000000</v>
      </c>
      <c r="B30" s="69" t="s">
        <v>131</v>
      </c>
      <c r="C30" s="5">
        <f>C31</f>
        <v>200</v>
      </c>
      <c r="D30" s="5">
        <f>D31</f>
        <v>123.34488</v>
      </c>
      <c r="E30" s="5">
        <f t="shared" si="0"/>
        <v>61.672440000000009</v>
      </c>
      <c r="F30" s="5">
        <f t="shared" si="1"/>
        <v>-76.655119999999997</v>
      </c>
    </row>
    <row r="31" spans="1:6" ht="23.25" customHeight="1">
      <c r="A31" s="7">
        <v>1130206005</v>
      </c>
      <c r="B31" s="8" t="s">
        <v>224</v>
      </c>
      <c r="C31" s="9">
        <v>200</v>
      </c>
      <c r="D31" s="10">
        <v>123.34488</v>
      </c>
      <c r="E31" s="9">
        <f>SUM(D31/C31*100)</f>
        <v>61.672440000000009</v>
      </c>
      <c r="F31" s="9">
        <f t="shared" si="1"/>
        <v>-76.655119999999997</v>
      </c>
    </row>
    <row r="32" spans="1:6" ht="17.25" customHeight="1">
      <c r="A32" s="70">
        <v>1140000000</v>
      </c>
      <c r="B32" s="71" t="s">
        <v>132</v>
      </c>
      <c r="C32" s="5">
        <f>C33+C34</f>
        <v>586</v>
      </c>
      <c r="D32" s="5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20.25" customHeight="1">
      <c r="A33" s="16">
        <v>1140200000</v>
      </c>
      <c r="B33" s="18" t="s">
        <v>133</v>
      </c>
      <c r="C33" s="9">
        <v>586</v>
      </c>
      <c r="D33" s="10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 ht="17.2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7.75" hidden="1" customHeight="1">
      <c r="A35" s="100">
        <v>1163305010</v>
      </c>
      <c r="B35" s="13" t="s">
        <v>252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33" hidden="1" customHeight="1">
      <c r="A36" s="7">
        <v>1163305010</v>
      </c>
      <c r="B36" s="8" t="s">
        <v>268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9.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9.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3711.2200000000003</v>
      </c>
      <c r="D40" s="127">
        <f>D4+D25</f>
        <v>1430.7108000000001</v>
      </c>
      <c r="E40" s="5">
        <f t="shared" si="0"/>
        <v>38.550956289306484</v>
      </c>
      <c r="F40" s="5">
        <f t="shared" si="1"/>
        <v>-2280.5092000000004</v>
      </c>
    </row>
    <row r="41" spans="1:7" s="6" customFormat="1" ht="20.25" customHeight="1">
      <c r="A41" s="3">
        <v>2000000000</v>
      </c>
      <c r="B41" s="4" t="s">
        <v>20</v>
      </c>
      <c r="C41" s="5">
        <f>C42+C43+C44+C46+C47+C45+C48</f>
        <v>6352.6950000000006</v>
      </c>
      <c r="D41" s="5">
        <f>D42+D43+D44+D46+D47+D45+D48</f>
        <v>2923.5079699999997</v>
      </c>
      <c r="E41" s="5">
        <f t="shared" si="0"/>
        <v>46.019964282875208</v>
      </c>
      <c r="F41" s="5">
        <f t="shared" si="1"/>
        <v>-3429.187030000001</v>
      </c>
      <c r="G41" s="19"/>
    </row>
    <row r="42" spans="1:7" ht="19.5" customHeight="1">
      <c r="A42" s="16">
        <v>2021000000</v>
      </c>
      <c r="B42" s="17" t="s">
        <v>21</v>
      </c>
      <c r="C42" s="12">
        <f>3530.2+26.311</f>
        <v>3556.511</v>
      </c>
      <c r="D42" s="20">
        <v>2223.431</v>
      </c>
      <c r="E42" s="9">
        <f t="shared" si="0"/>
        <v>62.517197331879473</v>
      </c>
      <c r="F42" s="9">
        <f t="shared" si="1"/>
        <v>-1333.08</v>
      </c>
    </row>
    <row r="43" spans="1:7" ht="18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2232.34</v>
      </c>
      <c r="D44" s="10">
        <v>216.131</v>
      </c>
      <c r="E44" s="9">
        <f t="shared" si="0"/>
        <v>9.6818137022138195</v>
      </c>
      <c r="F44" s="9">
        <f t="shared" si="1"/>
        <v>-2016.2090000000001</v>
      </c>
    </row>
    <row r="45" spans="1:7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154.24100000000001</v>
      </c>
      <c r="D46" s="252">
        <v>74.344999999999999</v>
      </c>
      <c r="E46" s="9">
        <f t="shared" si="0"/>
        <v>48.200543305606161</v>
      </c>
      <c r="F46" s="9">
        <f t="shared" si="1"/>
        <v>-79.896000000000015</v>
      </c>
    </row>
    <row r="47" spans="1:7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3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3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5">
        <f>SUM(C40,C41,C51)</f>
        <v>10063.915000000001</v>
      </c>
      <c r="D52" s="403">
        <f>D40+D41</f>
        <v>4354.2187699999995</v>
      </c>
      <c r="E52" s="5">
        <f t="shared" si="0"/>
        <v>43.26565526437772</v>
      </c>
      <c r="F52" s="5">
        <f t="shared" si="1"/>
        <v>-5709.6962300000014</v>
      </c>
      <c r="G52" s="94"/>
      <c r="H52" s="94"/>
    </row>
    <row r="53" spans="1:8" s="6" customFormat="1">
      <c r="A53" s="3"/>
      <c r="B53" s="21" t="s">
        <v>321</v>
      </c>
      <c r="C53" s="5">
        <f>C52-C100</f>
        <v>-101.57054999999855</v>
      </c>
      <c r="D53" s="5">
        <f>D52-D100</f>
        <v>708.42646999999943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367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1846.9180000000001</v>
      </c>
      <c r="D57" s="102">
        <f>D58+D59+D60+D61+D62+D64+D63</f>
        <v>785.87626</v>
      </c>
      <c r="E57" s="34">
        <f>SUM(D57/C57*100)</f>
        <v>42.550684978975781</v>
      </c>
      <c r="F57" s="34">
        <f>SUM(D57-C57)</f>
        <v>-1061.0417400000001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1840.8510000000001</v>
      </c>
      <c r="D59" s="92">
        <v>779.80925999999999</v>
      </c>
      <c r="E59" s="38">
        <f t="shared" ref="E59:E100" si="3">SUM(D59/C59*100)</f>
        <v>42.361345920989798</v>
      </c>
      <c r="F59" s="38">
        <f t="shared" ref="F59:F100" si="4">SUM(D59-C59)</f>
        <v>-1061.0417400000001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hidden="1" customHeight="1">
      <c r="A63" s="35" t="s">
        <v>42</v>
      </c>
      <c r="B63" s="39" t="s">
        <v>43</v>
      </c>
      <c r="C63" s="104">
        <v>0</v>
      </c>
      <c r="D63" s="104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74.326999999999998</v>
      </c>
      <c r="E65" s="34">
        <f t="shared" si="3"/>
        <v>49.262001179737673</v>
      </c>
      <c r="F65" s="34">
        <f t="shared" si="4"/>
        <v>-76.554000000000002</v>
      </c>
    </row>
    <row r="66" spans="1:7">
      <c r="A66" s="43" t="s">
        <v>48</v>
      </c>
      <c r="B66" s="44" t="s">
        <v>49</v>
      </c>
      <c r="C66" s="92">
        <v>150.881</v>
      </c>
      <c r="D66" s="92">
        <v>74.326999999999998</v>
      </c>
      <c r="E66" s="38">
        <f t="shared" si="3"/>
        <v>49.262001179737673</v>
      </c>
      <c r="F66" s="38">
        <f t="shared" si="4"/>
        <v>-76.554000000000002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</v>
      </c>
      <c r="D67" s="22">
        <f>D70+D71</f>
        <v>0</v>
      </c>
      <c r="E67" s="34">
        <f t="shared" si="3"/>
        <v>0</v>
      </c>
      <c r="F67" s="34">
        <f t="shared" si="4"/>
        <v>-4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3322.8485499999997</v>
      </c>
      <c r="D72" s="105">
        <f>SUM(D73:D76)</f>
        <v>753.05944</v>
      </c>
      <c r="E72" s="34">
        <f t="shared" si="3"/>
        <v>22.663068408579743</v>
      </c>
      <c r="F72" s="34">
        <f t="shared" si="4"/>
        <v>-2569.7891099999997</v>
      </c>
    </row>
    <row r="73" spans="1:7" ht="15.75" customHeight="1">
      <c r="A73" s="35" t="s">
        <v>60</v>
      </c>
      <c r="B73" s="39" t="s">
        <v>61</v>
      </c>
      <c r="C73" s="106">
        <v>9.7100000000000009</v>
      </c>
      <c r="D73" s="92">
        <v>0</v>
      </c>
      <c r="E73" s="38">
        <f t="shared" si="3"/>
        <v>0</v>
      </c>
      <c r="F73" s="38">
        <f t="shared" si="4"/>
        <v>-9.7100000000000009</v>
      </c>
    </row>
    <row r="74" spans="1:7" s="6" customFormat="1" ht="19.5" customHeight="1">
      <c r="A74" s="35" t="s">
        <v>62</v>
      </c>
      <c r="B74" s="39" t="s">
        <v>63</v>
      </c>
      <c r="C74" s="106">
        <v>682.49300000000005</v>
      </c>
      <c r="D74" s="92">
        <v>373.15194000000002</v>
      </c>
      <c r="E74" s="38">
        <f t="shared" si="3"/>
        <v>54.674837690642988</v>
      </c>
      <c r="F74" s="38">
        <f t="shared" si="4"/>
        <v>-309.34106000000003</v>
      </c>
      <c r="G74" s="50"/>
    </row>
    <row r="75" spans="1:7">
      <c r="A75" s="35" t="s">
        <v>64</v>
      </c>
      <c r="B75" s="39" t="s">
        <v>65</v>
      </c>
      <c r="C75" s="106">
        <v>2485.2155499999999</v>
      </c>
      <c r="D75" s="92">
        <v>335.60750000000002</v>
      </c>
      <c r="E75" s="38">
        <f t="shared" si="3"/>
        <v>13.504160635080527</v>
      </c>
      <c r="F75" s="38">
        <f t="shared" si="4"/>
        <v>-2149.6080499999998</v>
      </c>
    </row>
    <row r="76" spans="1:7">
      <c r="A76" s="35" t="s">
        <v>66</v>
      </c>
      <c r="B76" s="39" t="s">
        <v>67</v>
      </c>
      <c r="C76" s="106">
        <v>145.43</v>
      </c>
      <c r="D76" s="92">
        <v>44.3</v>
      </c>
      <c r="E76" s="38">
        <f t="shared" si="3"/>
        <v>30.461390359623181</v>
      </c>
      <c r="F76" s="38">
        <f t="shared" si="4"/>
        <v>-101.13000000000001</v>
      </c>
    </row>
    <row r="77" spans="1:7" s="6" customFormat="1" ht="22.5" customHeight="1">
      <c r="A77" s="30" t="s">
        <v>68</v>
      </c>
      <c r="B77" s="31" t="s">
        <v>69</v>
      </c>
      <c r="C77" s="22">
        <f>SUM(C78:C81)</f>
        <v>1148.07</v>
      </c>
      <c r="D77" s="22">
        <f>SUM(D78:D81)</f>
        <v>348.12322999999998</v>
      </c>
      <c r="E77" s="34">
        <f t="shared" si="3"/>
        <v>30.322474239375648</v>
      </c>
      <c r="F77" s="34">
        <f t="shared" si="4"/>
        <v>-799.94677000000001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1148.07</v>
      </c>
      <c r="D80" s="92">
        <v>348.12322999999998</v>
      </c>
      <c r="E80" s="38">
        <f t="shared" si="3"/>
        <v>30.322474239375648</v>
      </c>
      <c r="F80" s="38">
        <f t="shared" si="4"/>
        <v>-799.94677000000001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customHeight="1">
      <c r="A82" s="30" t="s">
        <v>86</v>
      </c>
      <c r="B82" s="31" t="s">
        <v>87</v>
      </c>
      <c r="C82" s="22">
        <f>C83+C84</f>
        <v>3667.768</v>
      </c>
      <c r="D82" s="22">
        <f>D83+D84</f>
        <v>1666.98137</v>
      </c>
      <c r="E82" s="34">
        <f t="shared" si="3"/>
        <v>45.449476902573984</v>
      </c>
      <c r="F82" s="34">
        <f t="shared" si="4"/>
        <v>-2000.7866300000001</v>
      </c>
    </row>
    <row r="83" spans="1:6" ht="17.25" customHeight="1">
      <c r="A83" s="35" t="s">
        <v>88</v>
      </c>
      <c r="B83" s="39" t="s">
        <v>234</v>
      </c>
      <c r="C83" s="92">
        <v>3667.768</v>
      </c>
      <c r="D83" s="92">
        <v>1666.98137</v>
      </c>
      <c r="E83" s="38">
        <f t="shared" si="3"/>
        <v>45.449476902573984</v>
      </c>
      <c r="F83" s="38">
        <f t="shared" si="4"/>
        <v>-2000.7866300000001</v>
      </c>
    </row>
    <row r="84" spans="1:6" ht="2.25" hidden="1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 hidden="1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80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12.425000000000001</v>
      </c>
      <c r="E90" s="34">
        <f t="shared" si="3"/>
        <v>62.125000000000007</v>
      </c>
      <c r="F90" s="22">
        <f>F91+F92+F93+F94+F95</f>
        <v>-7.5749999999999993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12.425000000000001</v>
      </c>
      <c r="E91" s="38">
        <f t="shared" si="3"/>
        <v>62.125000000000007</v>
      </c>
      <c r="F91" s="38">
        <f>SUM(D91-C91)</f>
        <v>-7.5749999999999993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 ht="15" customHeight="1">
      <c r="A100" s="52"/>
      <c r="B100" s="57" t="s">
        <v>119</v>
      </c>
      <c r="C100" s="360">
        <f>C57+C65+C67+C72+C77+C82+C90+C85+C96</f>
        <v>10165.485549999999</v>
      </c>
      <c r="D100" s="360">
        <f>D57+D65+D67+D72+D77+D82+D90+D85+D96</f>
        <v>3645.7923000000001</v>
      </c>
      <c r="E100" s="34">
        <f t="shared" si="3"/>
        <v>35.864418694687934</v>
      </c>
      <c r="F100" s="34">
        <f t="shared" si="4"/>
        <v>-6519.6932499999994</v>
      </c>
    </row>
    <row r="101" spans="1:6" ht="5.25" customHeight="1">
      <c r="D101" s="61"/>
    </row>
    <row r="102" spans="1:6" s="65" customFormat="1" ht="12.75">
      <c r="A102" s="63" t="s">
        <v>120</v>
      </c>
      <c r="B102" s="63"/>
      <c r="C102" s="133"/>
      <c r="D102" s="64"/>
    </row>
    <row r="103" spans="1:6" s="65" customFormat="1" ht="12.75">
      <c r="A103" s="66" t="s">
        <v>121</v>
      </c>
      <c r="B103" s="66"/>
      <c r="C103" s="133" t="s">
        <v>122</v>
      </c>
    </row>
  </sheetData>
  <customSheetViews>
    <customSheetView guid="{A54C432C-6C68-4B53-A75C-446EB3A61B2B}" scale="70" showPageBreaks="1" hiddenRows="1" view="pageBreakPreview" topLeftCell="A27">
      <selection activeCell="B71" sqref="B71"/>
      <pageMargins left="0.74803149606299213" right="0.74803149606299213" top="0.98425196850393704" bottom="0.98425196850393704" header="0.51181102362204722" footer="0.51181102362204722"/>
      <pageSetup paperSize="9" scale="60" orientation="portrait" r:id="rId1"/>
      <headerFooter alignWithMargins="0"/>
    </customSheetView>
    <customSheetView guid="{5BFCA170-DEAE-4D2C-98A0-1E68B427AC01}" scale="70" showPageBreaks="1" hiddenRows="1" view="pageBreakPreview" topLeftCell="A43">
      <selection activeCell="C75" sqref="C75"/>
      <pageMargins left="0.75" right="0.75" top="1" bottom="1" header="0.5" footer="0.5"/>
      <pageSetup paperSize="9" scale="49" orientation="portrait" r:id="rId2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3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4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portrait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4"/>
  <sheetViews>
    <sheetView view="pageBreakPreview" topLeftCell="A40" zoomScale="70" zoomScaleSheetLayoutView="70" workbookViewId="0">
      <selection activeCell="A51" sqref="A51:B5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2" t="s">
        <v>369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1663.25</v>
      </c>
      <c r="D4" s="5">
        <f>D5+D12+D14+D17+D7</f>
        <v>437.87513000000001</v>
      </c>
      <c r="E4" s="5">
        <f>SUM(D4/C4*100)</f>
        <v>26.326477078009919</v>
      </c>
      <c r="F4" s="5">
        <f>SUM(D4-C4)</f>
        <v>-1225.3748700000001</v>
      </c>
    </row>
    <row r="5" spans="1:6" s="6" customFormat="1">
      <c r="A5" s="68">
        <v>1010000000</v>
      </c>
      <c r="B5" s="67" t="s">
        <v>6</v>
      </c>
      <c r="C5" s="5">
        <f>C6</f>
        <v>82.1</v>
      </c>
      <c r="D5" s="5">
        <f>D6</f>
        <v>46.109610000000004</v>
      </c>
      <c r="E5" s="5">
        <f t="shared" ref="E5:E52" si="0">SUM(D5/C5*100)</f>
        <v>56.162740560292335</v>
      </c>
      <c r="F5" s="5">
        <f t="shared" ref="F5:F52" si="1">SUM(D5-C5)</f>
        <v>-35.990389999999991</v>
      </c>
    </row>
    <row r="6" spans="1:6">
      <c r="A6" s="7">
        <v>1010200001</v>
      </c>
      <c r="B6" s="8" t="s">
        <v>229</v>
      </c>
      <c r="C6" s="9">
        <v>82.1</v>
      </c>
      <c r="D6" s="10">
        <v>46.109610000000004</v>
      </c>
      <c r="E6" s="9">
        <f t="shared" ref="E6:E11" si="2">SUM(D6/C6*100)</f>
        <v>56.162740560292335</v>
      </c>
      <c r="F6" s="9">
        <f t="shared" si="1"/>
        <v>-35.990389999999991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288.91555</v>
      </c>
      <c r="E7" s="9">
        <f t="shared" si="2"/>
        <v>48.333843580092015</v>
      </c>
      <c r="F7" s="9">
        <f t="shared" si="1"/>
        <v>-308.83445</v>
      </c>
    </row>
    <row r="8" spans="1:6">
      <c r="A8" s="7">
        <v>1030223001</v>
      </c>
      <c r="B8" s="8" t="s">
        <v>283</v>
      </c>
      <c r="C8" s="9">
        <v>222.96</v>
      </c>
      <c r="D8" s="10">
        <v>125.20987</v>
      </c>
      <c r="E8" s="9">
        <f t="shared" si="2"/>
        <v>56.157996950125579</v>
      </c>
      <c r="F8" s="9">
        <f t="shared" si="1"/>
        <v>-97.750130000000013</v>
      </c>
    </row>
    <row r="9" spans="1:6">
      <c r="A9" s="7">
        <v>1030224001</v>
      </c>
      <c r="B9" s="8" t="s">
        <v>289</v>
      </c>
      <c r="C9" s="9">
        <v>2.4</v>
      </c>
      <c r="D9" s="10">
        <v>0.94918999999999998</v>
      </c>
      <c r="E9" s="9">
        <f t="shared" si="2"/>
        <v>39.549583333333331</v>
      </c>
      <c r="F9" s="9">
        <f t="shared" si="1"/>
        <v>-1.4508099999999999</v>
      </c>
    </row>
    <row r="10" spans="1:6">
      <c r="A10" s="7">
        <v>1030225001</v>
      </c>
      <c r="B10" s="8" t="s">
        <v>282</v>
      </c>
      <c r="C10" s="9">
        <v>372.39</v>
      </c>
      <c r="D10" s="10">
        <v>188.77139</v>
      </c>
      <c r="E10" s="9">
        <f t="shared" si="2"/>
        <v>50.691852627621579</v>
      </c>
      <c r="F10" s="9">
        <f t="shared" si="1"/>
        <v>-183.61860999999999</v>
      </c>
    </row>
    <row r="11" spans="1:6">
      <c r="A11" s="7">
        <v>1030226001</v>
      </c>
      <c r="B11" s="8" t="s">
        <v>291</v>
      </c>
      <c r="C11" s="9">
        <v>0</v>
      </c>
      <c r="D11" s="10">
        <v>-26.014900000000001</v>
      </c>
      <c r="E11" s="9" t="e">
        <f t="shared" si="2"/>
        <v>#DIV/0!</v>
      </c>
      <c r="F11" s="9">
        <f t="shared" si="1"/>
        <v>-26.014900000000001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3.0432000000000001</v>
      </c>
      <c r="E12" s="5">
        <f t="shared" si="0"/>
        <v>30.432000000000002</v>
      </c>
      <c r="F12" s="5">
        <f t="shared" si="1"/>
        <v>-6.9567999999999994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3.0432000000000001</v>
      </c>
      <c r="E13" s="9">
        <f t="shared" si="0"/>
        <v>30.432000000000002</v>
      </c>
      <c r="F13" s="9">
        <f t="shared" si="1"/>
        <v>-6.9567999999999994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5">
        <f>D15+D16</f>
        <v>99.80677</v>
      </c>
      <c r="E14" s="5">
        <f t="shared" si="0"/>
        <v>10.306357909954563</v>
      </c>
      <c r="F14" s="5">
        <f t="shared" si="1"/>
        <v>-868.59322999999995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10">
        <f>21.55781+0.57835</f>
        <v>22.13616</v>
      </c>
      <c r="E15" s="9">
        <f t="shared" si="0"/>
        <v>12.0698800436205</v>
      </c>
      <c r="F15" s="9">
        <f>SUM(D15-C15)</f>
        <v>-161.26384000000002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v>77.670609999999996</v>
      </c>
      <c r="E16" s="9">
        <f t="shared" si="0"/>
        <v>9.8943452229299353</v>
      </c>
      <c r="F16" s="9">
        <f t="shared" si="1"/>
        <v>-707.32938999999999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16.280899999999999</v>
      </c>
      <c r="E25" s="5">
        <f t="shared" si="0"/>
        <v>13.567416666666665</v>
      </c>
      <c r="F25" s="5">
        <f t="shared" si="1"/>
        <v>-103.7191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16.280899999999999</v>
      </c>
      <c r="E26" s="5">
        <f t="shared" si="0"/>
        <v>13.567416666666665</v>
      </c>
      <c r="F26" s="5">
        <f t="shared" si="1"/>
        <v>-103.7191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0.98</v>
      </c>
      <c r="E28" s="9">
        <f t="shared" si="0"/>
        <v>0.98</v>
      </c>
      <c r="F28" s="9">
        <f t="shared" si="1"/>
        <v>-99.02</v>
      </c>
    </row>
    <row r="29" spans="1:6" ht="18" customHeight="1">
      <c r="A29" s="7">
        <v>1110503505</v>
      </c>
      <c r="B29" s="11" t="s">
        <v>225</v>
      </c>
      <c r="C29" s="12">
        <v>20</v>
      </c>
      <c r="D29" s="10">
        <v>15.3009</v>
      </c>
      <c r="E29" s="9">
        <f t="shared" si="0"/>
        <v>76.504499999999993</v>
      </c>
      <c r="F29" s="9">
        <f t="shared" si="1"/>
        <v>-4.6990999999999996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.5" hidden="1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1783.25</v>
      </c>
      <c r="D40" s="127">
        <f>D4+D25</f>
        <v>454.15602999999999</v>
      </c>
      <c r="E40" s="5">
        <f t="shared" si="0"/>
        <v>25.467883359035469</v>
      </c>
      <c r="F40" s="5">
        <f t="shared" si="1"/>
        <v>-1329.0939699999999</v>
      </c>
    </row>
    <row r="41" spans="1:7" s="6" customFormat="1">
      <c r="A41" s="3">
        <v>2000000000</v>
      </c>
      <c r="B41" s="4" t="s">
        <v>20</v>
      </c>
      <c r="C41" s="5">
        <f>C42+C44+C46+C47+C48+C49+C43+C45+C51</f>
        <v>9550.4313899999997</v>
      </c>
      <c r="D41" s="5">
        <f>D42+D44+D46+D47+D48+D49+D43+D45+D51</f>
        <v>1436.0730000000001</v>
      </c>
      <c r="E41" s="5">
        <f t="shared" si="0"/>
        <v>15.036734377293925</v>
      </c>
      <c r="F41" s="5">
        <f t="shared" si="1"/>
        <v>-8114.3583899999994</v>
      </c>
      <c r="G41" s="19"/>
    </row>
    <row r="42" spans="1:7">
      <c r="A42" s="16">
        <v>2021000000</v>
      </c>
      <c r="B42" s="17" t="s">
        <v>21</v>
      </c>
      <c r="C42" s="99">
        <f>1943.3+29.612</f>
        <v>1972.912</v>
      </c>
      <c r="D42" s="20">
        <v>1223.952</v>
      </c>
      <c r="E42" s="9">
        <f t="shared" si="0"/>
        <v>62.03784051189308</v>
      </c>
      <c r="F42" s="9">
        <f t="shared" si="1"/>
        <v>-748.96</v>
      </c>
    </row>
    <row r="43" spans="1:7">
      <c r="A43" s="16">
        <v>2021500200</v>
      </c>
      <c r="B43" s="17" t="s">
        <v>232</v>
      </c>
      <c r="C43" s="12">
        <v>320</v>
      </c>
      <c r="D43" s="20">
        <v>50</v>
      </c>
      <c r="E43" s="9">
        <f t="shared" si="0"/>
        <v>15.625</v>
      </c>
      <c r="F43" s="9">
        <f t="shared" si="1"/>
        <v>-270</v>
      </c>
    </row>
    <row r="44" spans="1:7" ht="16.5" customHeight="1">
      <c r="A44" s="16">
        <v>2022000000</v>
      </c>
      <c r="B44" s="17" t="s">
        <v>22</v>
      </c>
      <c r="C44" s="12">
        <f>5685.10639+469+835.85</f>
        <v>6989.9563900000003</v>
      </c>
      <c r="D44" s="10">
        <v>24.452999999999999</v>
      </c>
      <c r="E44" s="9">
        <f t="shared" si="0"/>
        <v>0.34983050874227267</v>
      </c>
      <c r="F44" s="9">
        <f t="shared" si="1"/>
        <v>-6965.5033899999999</v>
      </c>
    </row>
    <row r="45" spans="1:7" hidden="1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12">
        <f>3.359+150.881</f>
        <v>154.24</v>
      </c>
      <c r="D46" s="252">
        <v>74.344999999999999</v>
      </c>
      <c r="E46" s="9">
        <f>SUM(D46/C46*100)</f>
        <v>48.200855809128626</v>
      </c>
      <c r="F46" s="9">
        <f>SUM(D46-C46)</f>
        <v>-79.89500000000001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47.25" hidden="1">
      <c r="A48" s="16">
        <v>2020900000</v>
      </c>
      <c r="B48" s="18" t="s">
        <v>25</v>
      </c>
      <c r="C48" s="12">
        <v>0</v>
      </c>
      <c r="D48" s="253">
        <v>0</v>
      </c>
      <c r="E48" s="9" t="e">
        <f t="shared" si="0"/>
        <v>#DIV/0!</v>
      </c>
      <c r="F48" s="9">
        <f t="shared" si="1"/>
        <v>0</v>
      </c>
    </row>
    <row r="49" spans="1:8" hidden="1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334">
        <v>113.32299999999999</v>
      </c>
      <c r="D51" s="335">
        <v>63.323</v>
      </c>
      <c r="E51" s="9">
        <f t="shared" si="0"/>
        <v>55.878330083036985</v>
      </c>
      <c r="F51" s="9">
        <f t="shared" si="1"/>
        <v>-49.999999999999993</v>
      </c>
    </row>
    <row r="52" spans="1:8" s="6" customFormat="1" ht="23.25" customHeight="1">
      <c r="A52" s="3"/>
      <c r="B52" s="4" t="s">
        <v>28</v>
      </c>
      <c r="C52" s="5">
        <f>C40+C41</f>
        <v>11333.68139</v>
      </c>
      <c r="D52" s="403">
        <f>D40+D41</f>
        <v>1890.22903</v>
      </c>
      <c r="E52" s="5">
        <f t="shared" si="0"/>
        <v>16.677979245717971</v>
      </c>
      <c r="F52" s="5">
        <f t="shared" si="1"/>
        <v>-9443.4523599999993</v>
      </c>
      <c r="G52" s="94"/>
      <c r="H52" s="94"/>
    </row>
    <row r="53" spans="1:8" s="6" customFormat="1">
      <c r="A53" s="3"/>
      <c r="B53" s="21" t="s">
        <v>321</v>
      </c>
      <c r="C53" s="5">
        <f>C52-C100</f>
        <v>-110.81862000000001</v>
      </c>
      <c r="D53" s="5">
        <f>D52-D100</f>
        <v>236.59949999999981</v>
      </c>
      <c r="E53" s="22"/>
      <c r="F53" s="22"/>
    </row>
    <row r="54" spans="1:8" ht="32.25" customHeight="1">
      <c r="A54" s="23"/>
      <c r="B54" s="24"/>
      <c r="C54" s="248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361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32">
        <f>C58+C59+C60+C61+C62+C64+C63</f>
        <v>1287.412</v>
      </c>
      <c r="D57" s="33">
        <f>D58+D59+D60+D61+D62+D64+D63</f>
        <v>679.06620000000009</v>
      </c>
      <c r="E57" s="34">
        <f>SUM(D57/C57*100)</f>
        <v>52.746611030501512</v>
      </c>
      <c r="F57" s="34">
        <f>SUM(D57-C57)</f>
        <v>-608.34579999999994</v>
      </c>
    </row>
    <row r="58" spans="1:8" s="6" customFormat="1" ht="1.5" hidden="1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37">
        <v>1265.029</v>
      </c>
      <c r="D59" s="37">
        <v>668.58770000000004</v>
      </c>
      <c r="E59" s="38">
        <f t="shared" ref="E59:E100" si="3">SUM(D59/C59*100)</f>
        <v>52.851570991653162</v>
      </c>
      <c r="F59" s="38">
        <f t="shared" ref="F59:F100" si="4">SUM(D59-C59)</f>
        <v>-596.44129999999996</v>
      </c>
    </row>
    <row r="60" spans="1:8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37">
        <v>17.382999999999999</v>
      </c>
      <c r="D64" s="37">
        <v>10.4785</v>
      </c>
      <c r="E64" s="38">
        <f t="shared" si="3"/>
        <v>60.280158775815465</v>
      </c>
      <c r="F64" s="38">
        <f t="shared" si="4"/>
        <v>-6.9044999999999987</v>
      </c>
    </row>
    <row r="65" spans="1:7" s="6" customFormat="1">
      <c r="A65" s="41" t="s">
        <v>46</v>
      </c>
      <c r="B65" s="42" t="s">
        <v>47</v>
      </c>
      <c r="C65" s="32">
        <f>C66</f>
        <v>150.881</v>
      </c>
      <c r="D65" s="32">
        <f>D66</f>
        <v>67.66</v>
      </c>
      <c r="E65" s="34">
        <f t="shared" si="3"/>
        <v>44.843287093802395</v>
      </c>
      <c r="F65" s="34">
        <f t="shared" si="4"/>
        <v>-83.221000000000004</v>
      </c>
    </row>
    <row r="66" spans="1:7" ht="15" customHeight="1">
      <c r="A66" s="43" t="s">
        <v>48</v>
      </c>
      <c r="B66" s="44" t="s">
        <v>49</v>
      </c>
      <c r="C66" s="37">
        <f>150.881</f>
        <v>150.881</v>
      </c>
      <c r="D66" s="37">
        <v>67.66</v>
      </c>
      <c r="E66" s="38">
        <f t="shared" si="3"/>
        <v>44.843287093802395</v>
      </c>
      <c r="F66" s="38">
        <f t="shared" si="4"/>
        <v>-83.221000000000004</v>
      </c>
    </row>
    <row r="67" spans="1:7" s="6" customFormat="1" ht="18" customHeight="1">
      <c r="A67" s="30" t="s">
        <v>50</v>
      </c>
      <c r="B67" s="31" t="s">
        <v>51</v>
      </c>
      <c r="C67" s="32">
        <f>C70+C71</f>
        <v>7.6</v>
      </c>
      <c r="D67" s="32">
        <f>D70+D71</f>
        <v>2.4700000000000002</v>
      </c>
      <c r="E67" s="34">
        <f t="shared" si="3"/>
        <v>32.500000000000007</v>
      </c>
      <c r="F67" s="34">
        <f t="shared" si="4"/>
        <v>-5.129999999999999</v>
      </c>
    </row>
    <row r="68" spans="1:7" ht="0.75" hidden="1" customHeight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37">
        <v>5.6</v>
      </c>
      <c r="D71" s="37">
        <v>2.4700000000000002</v>
      </c>
      <c r="E71" s="38">
        <f t="shared" si="3"/>
        <v>44.107142857142861</v>
      </c>
      <c r="F71" s="38">
        <f t="shared" si="4"/>
        <v>-3.1299999999999994</v>
      </c>
    </row>
    <row r="72" spans="1:7" s="6" customFormat="1" ht="19.5" customHeight="1">
      <c r="A72" s="30" t="s">
        <v>58</v>
      </c>
      <c r="B72" s="31" t="s">
        <v>59</v>
      </c>
      <c r="C72" s="48">
        <f>C74+C75+C76+C73</f>
        <v>1937.69362</v>
      </c>
      <c r="D72" s="48">
        <f>SUM(D73:D76)</f>
        <v>304.55200000000002</v>
      </c>
      <c r="E72" s="34">
        <f t="shared" si="3"/>
        <v>15.717242233578702</v>
      </c>
      <c r="F72" s="34">
        <f t="shared" si="4"/>
        <v>-1633.1416199999999</v>
      </c>
    </row>
    <row r="73" spans="1:7" ht="17.25" customHeight="1">
      <c r="A73" s="35" t="s">
        <v>60</v>
      </c>
      <c r="B73" s="39" t="s">
        <v>61</v>
      </c>
      <c r="C73" s="49">
        <v>9.7089999999999996</v>
      </c>
      <c r="D73" s="37">
        <v>0</v>
      </c>
      <c r="E73" s="38">
        <f t="shared" si="3"/>
        <v>0</v>
      </c>
      <c r="F73" s="38">
        <f t="shared" si="4"/>
        <v>-9.7089999999999996</v>
      </c>
    </row>
    <row r="74" spans="1:7" s="6" customFormat="1" ht="17.25" customHeight="1">
      <c r="A74" s="35" t="s">
        <v>62</v>
      </c>
      <c r="B74" s="39" t="s">
        <v>63</v>
      </c>
      <c r="C74" s="49">
        <v>254.50200000000001</v>
      </c>
      <c r="D74" s="37">
        <v>65</v>
      </c>
      <c r="E74" s="38">
        <f t="shared" si="3"/>
        <v>25.540074341262542</v>
      </c>
      <c r="F74" s="38">
        <f t="shared" si="4"/>
        <v>-189.50200000000001</v>
      </c>
      <c r="G74" s="50"/>
    </row>
    <row r="75" spans="1:7" ht="16.5" customHeight="1">
      <c r="A75" s="35" t="s">
        <v>64</v>
      </c>
      <c r="B75" s="39" t="s">
        <v>65</v>
      </c>
      <c r="C75" s="49">
        <f>1059.28262+521.2</f>
        <v>1580.48262</v>
      </c>
      <c r="D75" s="37">
        <v>150.25200000000001</v>
      </c>
      <c r="E75" s="38">
        <f t="shared" si="3"/>
        <v>9.5067163724963955</v>
      </c>
      <c r="F75" s="38">
        <f t="shared" si="4"/>
        <v>-1430.23062</v>
      </c>
    </row>
    <row r="76" spans="1:7" ht="16.5" customHeight="1">
      <c r="A76" s="35" t="s">
        <v>66</v>
      </c>
      <c r="B76" s="39" t="s">
        <v>67</v>
      </c>
      <c r="C76" s="49">
        <v>93</v>
      </c>
      <c r="D76" s="37">
        <v>89.3</v>
      </c>
      <c r="E76" s="38">
        <f t="shared" si="3"/>
        <v>96.021505376344081</v>
      </c>
      <c r="F76" s="38">
        <f t="shared" si="4"/>
        <v>-3.7000000000000028</v>
      </c>
    </row>
    <row r="77" spans="1:7" ht="15.75" hidden="1" customHeight="1">
      <c r="A77" s="30" t="s">
        <v>50</v>
      </c>
      <c r="B77" s="31" t="s">
        <v>51</v>
      </c>
      <c r="C77" s="48">
        <v>0</v>
      </c>
      <c r="D77" s="37"/>
      <c r="E77" s="38"/>
      <c r="F77" s="38"/>
    </row>
    <row r="78" spans="1:7" ht="15.75" hidden="1" customHeight="1">
      <c r="A78" s="46" t="s">
        <v>219</v>
      </c>
      <c r="B78" s="47" t="s">
        <v>220</v>
      </c>
      <c r="C78" s="49">
        <v>0</v>
      </c>
      <c r="D78" s="37"/>
      <c r="E78" s="38"/>
      <c r="F78" s="38"/>
    </row>
    <row r="79" spans="1:7" s="6" customFormat="1" ht="19.5" customHeight="1">
      <c r="A79" s="30" t="s">
        <v>68</v>
      </c>
      <c r="B79" s="31" t="s">
        <v>69</v>
      </c>
      <c r="C79" s="32">
        <f>SUM(C80:C82)</f>
        <v>6688.4133899999997</v>
      </c>
      <c r="D79" s="32">
        <f>SUM(D80:D82)</f>
        <v>133.44979000000001</v>
      </c>
      <c r="E79" s="34">
        <f t="shared" si="3"/>
        <v>1.9952383654922383</v>
      </c>
      <c r="F79" s="34">
        <f t="shared" si="4"/>
        <v>-6554.9636</v>
      </c>
    </row>
    <row r="80" spans="1:7" hidden="1">
      <c r="A80" s="35" t="s">
        <v>70</v>
      </c>
      <c r="B80" s="51" t="s">
        <v>71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72</v>
      </c>
      <c r="B81" s="51" t="s">
        <v>73</v>
      </c>
      <c r="C81" s="37">
        <v>5884.1903899999998</v>
      </c>
      <c r="D81" s="37">
        <v>0</v>
      </c>
      <c r="E81" s="38">
        <f t="shared" si="3"/>
        <v>0</v>
      </c>
      <c r="F81" s="38">
        <f t="shared" si="4"/>
        <v>-5884.1903899999998</v>
      </c>
    </row>
    <row r="82" spans="1:6">
      <c r="A82" s="35" t="s">
        <v>74</v>
      </c>
      <c r="B82" s="39" t="s">
        <v>75</v>
      </c>
      <c r="C82" s="37">
        <v>804.22299999999996</v>
      </c>
      <c r="D82" s="37">
        <v>133.44979000000001</v>
      </c>
      <c r="E82" s="38">
        <f t="shared" si="3"/>
        <v>16.593630124977775</v>
      </c>
      <c r="F82" s="38">
        <f t="shared" si="4"/>
        <v>-670.77320999999995</v>
      </c>
    </row>
    <row r="83" spans="1:6" s="6" customFormat="1">
      <c r="A83" s="30" t="s">
        <v>86</v>
      </c>
      <c r="B83" s="31" t="s">
        <v>87</v>
      </c>
      <c r="C83" s="32">
        <f>C84</f>
        <v>1362.5</v>
      </c>
      <c r="D83" s="32">
        <f>SUM(D84)</f>
        <v>464.90154000000001</v>
      </c>
      <c r="E83" s="34">
        <f t="shared" si="3"/>
        <v>34.121213944954135</v>
      </c>
      <c r="F83" s="34">
        <f t="shared" si="4"/>
        <v>-897.59845999999993</v>
      </c>
    </row>
    <row r="84" spans="1:6" ht="16.5" customHeight="1">
      <c r="A84" s="35" t="s">
        <v>88</v>
      </c>
      <c r="B84" s="39" t="s">
        <v>234</v>
      </c>
      <c r="C84" s="37">
        <f>1362.5</f>
        <v>1362.5</v>
      </c>
      <c r="D84" s="37">
        <v>464.90154000000001</v>
      </c>
      <c r="E84" s="38">
        <f t="shared" si="3"/>
        <v>34.121213944954135</v>
      </c>
      <c r="F84" s="38">
        <f t="shared" si="4"/>
        <v>-897.59845999999993</v>
      </c>
    </row>
    <row r="85" spans="1:6" s="6" customFormat="1" ht="0.75" hidden="1" customHeight="1">
      <c r="A85" s="52">
        <v>1000</v>
      </c>
      <c r="B85" s="31" t="s">
        <v>89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" hidden="1" customHeight="1">
      <c r="A86" s="53">
        <v>1001</v>
      </c>
      <c r="B86" s="54" t="s">
        <v>90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91</v>
      </c>
      <c r="C87" s="37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6.5" hidden="1" customHeight="1">
      <c r="A88" s="53">
        <v>1004</v>
      </c>
      <c r="B88" s="54" t="s">
        <v>92</v>
      </c>
      <c r="C88" s="37">
        <v>0</v>
      </c>
      <c r="D88" s="55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35" t="s">
        <v>93</v>
      </c>
      <c r="B89" s="39" t="s">
        <v>94</v>
      </c>
      <c r="C89" s="37">
        <v>0</v>
      </c>
      <c r="D89" s="37">
        <v>0</v>
      </c>
      <c r="E89" s="38"/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32">
        <f>C91+C92+C93+C94+C95</f>
        <v>10</v>
      </c>
      <c r="D90" s="285">
        <f>D91+D92+D93+D94+D95</f>
        <v>1.53</v>
      </c>
      <c r="E90" s="38">
        <f t="shared" si="3"/>
        <v>15.299999999999999</v>
      </c>
      <c r="F90" s="22">
        <f>F91+F92+F93+F94+F95</f>
        <v>-8.4700000000000006</v>
      </c>
    </row>
    <row r="91" spans="1:6" ht="19.5" customHeight="1">
      <c r="A91" s="35" t="s">
        <v>97</v>
      </c>
      <c r="B91" s="39" t="s">
        <v>98</v>
      </c>
      <c r="C91" s="37">
        <v>10</v>
      </c>
      <c r="D91" s="286">
        <v>1.53</v>
      </c>
      <c r="E91" s="38">
        <f t="shared" si="3"/>
        <v>15.299999999999999</v>
      </c>
      <c r="F91" s="38">
        <f>SUM(D91-C91)</f>
        <v>-8.4700000000000006</v>
      </c>
    </row>
    <row r="92" spans="1:6" ht="15" hidden="1" customHeight="1">
      <c r="A92" s="35" t="s">
        <v>99</v>
      </c>
      <c r="B92" s="39" t="s">
        <v>100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37"/>
      <c r="D94" s="37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24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115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116</v>
      </c>
      <c r="C97" s="92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119</v>
      </c>
      <c r="C100" s="102">
        <f>C57+C65+C67+C72+C79+C83+C85+C90+C77</f>
        <v>11444.50001</v>
      </c>
      <c r="D100" s="102">
        <f>D57+D65+D67+D72+D79+D83+D90+D85</f>
        <v>1653.6295300000002</v>
      </c>
      <c r="E100" s="34">
        <f t="shared" si="3"/>
        <v>14.449119913976915</v>
      </c>
      <c r="F100" s="34">
        <f t="shared" si="4"/>
        <v>-9790.8704799999996</v>
      </c>
    </row>
    <row r="101" spans="1:6" ht="5.25" customHeight="1">
      <c r="C101" s="120"/>
      <c r="D101" s="61"/>
    </row>
    <row r="102" spans="1:6" s="65" customFormat="1" ht="12.75">
      <c r="A102" s="63" t="s">
        <v>120</v>
      </c>
      <c r="B102" s="63"/>
      <c r="C102" s="116"/>
      <c r="D102" s="64"/>
    </row>
    <row r="103" spans="1:6" s="65" customFormat="1" ht="12.75">
      <c r="A103" s="66" t="s">
        <v>121</v>
      </c>
      <c r="B103" s="66"/>
      <c r="C103" s="65" t="s">
        <v>122</v>
      </c>
    </row>
    <row r="104" spans="1:6">
      <c r="C104" s="120"/>
    </row>
  </sheetData>
  <customSheetViews>
    <customSheetView guid="{A54C432C-6C68-4B53-A75C-446EB3A61B2B}" scale="70" showPageBreaks="1" printArea="1" hiddenRows="1" view="pageBreakPreview" topLeftCell="A26">
      <selection activeCell="D53" activeCellId="1" sqref="C100:D100 C52:D5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printArea="1" hiddenRows="1" view="pageBreakPreview">
      <selection activeCell="J3" sqref="J3:J11"/>
      <pageMargins left="0.7" right="0.7" top="0.75" bottom="0.75" header="0.3" footer="0.3"/>
      <pageSetup paperSize="9" scale="51" orientation="portrait" r:id="rId2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1"/>
  <sheetViews>
    <sheetView view="pageBreakPreview" topLeftCell="A53" zoomScale="70" zoomScaleSheetLayoutView="70" workbookViewId="0">
      <selection activeCell="C74" sqref="C74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2" t="s">
        <v>370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4">
        <f>C5+C12+C14+C17+C20+C7</f>
        <v>4160.33</v>
      </c>
      <c r="D4" s="284">
        <f>D5+D12+D14+D17+D20+D7</f>
        <v>1044.77874</v>
      </c>
      <c r="E4" s="5">
        <f>SUM(D4/C4*100)</f>
        <v>25.112881430078865</v>
      </c>
      <c r="F4" s="5">
        <f>SUM(D4-C4)</f>
        <v>-3115.5512600000002</v>
      </c>
    </row>
    <row r="5" spans="1:6" s="6" customFormat="1">
      <c r="A5" s="68">
        <v>1010000000</v>
      </c>
      <c r="B5" s="67" t="s">
        <v>6</v>
      </c>
      <c r="C5" s="284">
        <f>C6</f>
        <v>456.3</v>
      </c>
      <c r="D5" s="284">
        <f>D6</f>
        <v>199.26757000000001</v>
      </c>
      <c r="E5" s="5">
        <f t="shared" ref="E5:E50" si="0">SUM(D5/C5*100)</f>
        <v>43.670298049528824</v>
      </c>
      <c r="F5" s="5">
        <f t="shared" ref="F5:F50" si="1">SUM(D5-C5)</f>
        <v>-257.03242999999998</v>
      </c>
    </row>
    <row r="6" spans="1:6">
      <c r="A6" s="7">
        <v>1010200001</v>
      </c>
      <c r="B6" s="8" t="s">
        <v>229</v>
      </c>
      <c r="C6" s="336">
        <v>456.3</v>
      </c>
      <c r="D6" s="337">
        <v>199.26757000000001</v>
      </c>
      <c r="E6" s="9">
        <f t="shared" ref="E6:E11" si="2">SUM(D6/C6*100)</f>
        <v>43.670298049528824</v>
      </c>
      <c r="F6" s="9">
        <f t="shared" si="1"/>
        <v>-257.03242999999998</v>
      </c>
    </row>
    <row r="7" spans="1:6" ht="31.5">
      <c r="A7" s="3">
        <v>1030000000</v>
      </c>
      <c r="B7" s="13" t="s">
        <v>281</v>
      </c>
      <c r="C7" s="284">
        <f>C8+C10+C9</f>
        <v>713.03000000000009</v>
      </c>
      <c r="D7" s="284">
        <f>D8+D10+D9+D11</f>
        <v>344.63495999999998</v>
      </c>
      <c r="E7" s="5">
        <f t="shared" si="2"/>
        <v>48.333865335259382</v>
      </c>
      <c r="F7" s="5">
        <f t="shared" si="1"/>
        <v>-368.39504000000011</v>
      </c>
    </row>
    <row r="8" spans="1:6">
      <c r="A8" s="7">
        <v>1030223001</v>
      </c>
      <c r="B8" s="8" t="s">
        <v>283</v>
      </c>
      <c r="C8" s="336">
        <v>265.95999999999998</v>
      </c>
      <c r="D8" s="337">
        <v>149.35749000000001</v>
      </c>
      <c r="E8" s="9">
        <f t="shared" si="2"/>
        <v>56.157877124379617</v>
      </c>
      <c r="F8" s="9">
        <f t="shared" si="1"/>
        <v>-116.60250999999997</v>
      </c>
    </row>
    <row r="9" spans="1:6">
      <c r="A9" s="7">
        <v>1030224001</v>
      </c>
      <c r="B9" s="8" t="s">
        <v>289</v>
      </c>
      <c r="C9" s="336">
        <v>2.85</v>
      </c>
      <c r="D9" s="337">
        <v>1.13225</v>
      </c>
      <c r="E9" s="9">
        <f t="shared" si="2"/>
        <v>39.728070175438596</v>
      </c>
      <c r="F9" s="9">
        <f t="shared" si="1"/>
        <v>-1.7177500000000001</v>
      </c>
    </row>
    <row r="10" spans="1:6">
      <c r="A10" s="7">
        <v>1030225001</v>
      </c>
      <c r="B10" s="8" t="s">
        <v>282</v>
      </c>
      <c r="C10" s="336">
        <v>444.22</v>
      </c>
      <c r="D10" s="337">
        <v>225.17728</v>
      </c>
      <c r="E10" s="9">
        <f t="shared" si="2"/>
        <v>50.690486695781367</v>
      </c>
      <c r="F10" s="9">
        <f t="shared" si="1"/>
        <v>-219.04272000000003</v>
      </c>
    </row>
    <row r="11" spans="1:6">
      <c r="A11" s="7">
        <v>1030226001</v>
      </c>
      <c r="B11" s="8" t="s">
        <v>290</v>
      </c>
      <c r="C11" s="336">
        <v>0</v>
      </c>
      <c r="D11" s="335">
        <v>-31.032060000000001</v>
      </c>
      <c r="E11" s="9" t="e">
        <f t="shared" si="2"/>
        <v>#DIV/0!</v>
      </c>
      <c r="F11" s="9">
        <f t="shared" si="1"/>
        <v>-31.032060000000001</v>
      </c>
    </row>
    <row r="12" spans="1:6" s="6" customFormat="1">
      <c r="A12" s="68">
        <v>1050000000</v>
      </c>
      <c r="B12" s="67" t="s">
        <v>7</v>
      </c>
      <c r="C12" s="284">
        <f>SUM(C13:C13)</f>
        <v>50</v>
      </c>
      <c r="D12" s="284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8">
        <v>50</v>
      </c>
      <c r="D13" s="337">
        <f>27.7653+0.39743</f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4">
        <f>C15+C16</f>
        <v>2916</v>
      </c>
      <c r="D14" s="284">
        <f>D15+D16</f>
        <v>457.21348</v>
      </c>
      <c r="E14" s="5">
        <f t="shared" si="0"/>
        <v>15.67947462277092</v>
      </c>
      <c r="F14" s="5">
        <f t="shared" si="1"/>
        <v>-2458.7865200000001</v>
      </c>
    </row>
    <row r="15" spans="1:6" s="6" customFormat="1" ht="15.75" customHeight="1">
      <c r="A15" s="7">
        <v>1060100000</v>
      </c>
      <c r="B15" s="11" t="s">
        <v>9</v>
      </c>
      <c r="C15" s="336">
        <v>255</v>
      </c>
      <c r="D15" s="337">
        <v>19.993780000000001</v>
      </c>
      <c r="E15" s="9">
        <f t="shared" si="0"/>
        <v>7.8406980392156864</v>
      </c>
      <c r="F15" s="9">
        <f>SUM(D15-C15)</f>
        <v>-235.00621999999998</v>
      </c>
    </row>
    <row r="16" spans="1:6" ht="15.75" customHeight="1">
      <c r="A16" s="7">
        <v>1060600000</v>
      </c>
      <c r="B16" s="11" t="s">
        <v>8</v>
      </c>
      <c r="C16" s="336">
        <v>2661</v>
      </c>
      <c r="D16" s="337">
        <v>437.21969999999999</v>
      </c>
      <c r="E16" s="9">
        <f t="shared" si="0"/>
        <v>16.43065388951522</v>
      </c>
      <c r="F16" s="9">
        <f t="shared" si="1"/>
        <v>-2223.7802999999999</v>
      </c>
    </row>
    <row r="17" spans="1:6" s="6" customFormat="1">
      <c r="A17" s="3">
        <v>1080000000</v>
      </c>
      <c r="B17" s="4" t="s">
        <v>11</v>
      </c>
      <c r="C17" s="284">
        <f>C18</f>
        <v>25</v>
      </c>
      <c r="D17" s="284">
        <f>D18</f>
        <v>15.5</v>
      </c>
      <c r="E17" s="5">
        <f t="shared" si="0"/>
        <v>62</v>
      </c>
      <c r="F17" s="5">
        <f t="shared" si="1"/>
        <v>-9.5</v>
      </c>
    </row>
    <row r="18" spans="1:6" ht="18" customHeight="1">
      <c r="A18" s="7">
        <v>1080400001</v>
      </c>
      <c r="B18" s="8" t="s">
        <v>228</v>
      </c>
      <c r="C18" s="336">
        <v>25</v>
      </c>
      <c r="D18" s="337">
        <v>15.5</v>
      </c>
      <c r="E18" s="9">
        <f t="shared" si="0"/>
        <v>62</v>
      </c>
      <c r="F18" s="9">
        <f t="shared" si="1"/>
        <v>-9.5</v>
      </c>
    </row>
    <row r="19" spans="1:6" ht="47.25" hidden="1" customHeight="1">
      <c r="A19" s="7">
        <v>1080714001</v>
      </c>
      <c r="B19" s="8" t="s">
        <v>12</v>
      </c>
      <c r="C19" s="336"/>
      <c r="D19" s="337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4">
        <f>C21+C22+C23+C24</f>
        <v>0</v>
      </c>
      <c r="D20" s="28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284"/>
      <c r="D21" s="33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4"/>
      <c r="D22" s="33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4"/>
      <c r="D23" s="339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4"/>
      <c r="D24" s="339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4">
        <f>C26+C29+C31+C36</f>
        <v>72</v>
      </c>
      <c r="D25" s="93">
        <f>D26+D29+D31+D36+D34</f>
        <v>-279.46795999999995</v>
      </c>
      <c r="E25" s="5">
        <f t="shared" si="0"/>
        <v>-388.14994444444437</v>
      </c>
      <c r="F25" s="5">
        <f t="shared" si="1"/>
        <v>-351.46795999999995</v>
      </c>
    </row>
    <row r="26" spans="1:6" s="6" customFormat="1" ht="30" customHeight="1">
      <c r="A26" s="68">
        <v>1110000000</v>
      </c>
      <c r="B26" s="69" t="s">
        <v>129</v>
      </c>
      <c r="C26" s="284">
        <f>C27+C28</f>
        <v>72</v>
      </c>
      <c r="D26" s="93">
        <f>D27+D28</f>
        <v>-286.74849999999998</v>
      </c>
      <c r="E26" s="5">
        <f t="shared" si="0"/>
        <v>-398.2618055555555</v>
      </c>
      <c r="F26" s="5">
        <f t="shared" si="1"/>
        <v>-358.74849999999998</v>
      </c>
    </row>
    <row r="27" spans="1:6" ht="15" customHeight="1">
      <c r="A27" s="16">
        <v>1110502510</v>
      </c>
      <c r="B27" s="17" t="s">
        <v>226</v>
      </c>
      <c r="C27" s="338">
        <v>70</v>
      </c>
      <c r="D27" s="335">
        <v>-286.74849999999998</v>
      </c>
      <c r="E27" s="9">
        <f t="shared" si="0"/>
        <v>-409.64071428571424</v>
      </c>
      <c r="F27" s="9">
        <f t="shared" si="1"/>
        <v>-356.74849999999998</v>
      </c>
    </row>
    <row r="28" spans="1:6" ht="15.75" customHeight="1">
      <c r="A28" s="7">
        <v>1110503505</v>
      </c>
      <c r="B28" s="11" t="s">
        <v>225</v>
      </c>
      <c r="C28" s="338">
        <v>2</v>
      </c>
      <c r="D28" s="337">
        <v>0</v>
      </c>
      <c r="E28" s="9">
        <f t="shared" si="0"/>
        <v>0</v>
      </c>
      <c r="F28" s="9">
        <f t="shared" si="1"/>
        <v>-2</v>
      </c>
    </row>
    <row r="29" spans="1:6" s="15" customFormat="1" ht="29.25">
      <c r="A29" s="68">
        <v>1130000000</v>
      </c>
      <c r="B29" s="69" t="s">
        <v>131</v>
      </c>
      <c r="C29" s="284">
        <f>C30</f>
        <v>0</v>
      </c>
      <c r="D29" s="284">
        <f>D30</f>
        <v>7.67354</v>
      </c>
      <c r="E29" s="5" t="e">
        <f t="shared" si="0"/>
        <v>#DIV/0!</v>
      </c>
      <c r="F29" s="5">
        <f t="shared" si="1"/>
        <v>7.67354</v>
      </c>
    </row>
    <row r="30" spans="1:6" ht="18.75" customHeight="1">
      <c r="A30" s="7">
        <v>1130206005</v>
      </c>
      <c r="B30" s="8" t="s">
        <v>224</v>
      </c>
      <c r="C30" s="336">
        <v>0</v>
      </c>
      <c r="D30" s="337">
        <v>7.67354</v>
      </c>
      <c r="E30" s="9" t="e">
        <f t="shared" si="0"/>
        <v>#DIV/0!</v>
      </c>
      <c r="F30" s="9">
        <f t="shared" si="1"/>
        <v>7.67354</v>
      </c>
    </row>
    <row r="31" spans="1:6" ht="28.5" hidden="1">
      <c r="A31" s="70">
        <v>1140000000</v>
      </c>
      <c r="B31" s="71" t="s">
        <v>132</v>
      </c>
      <c r="C31" s="284">
        <f>C32+C33</f>
        <v>0</v>
      </c>
      <c r="D31" s="284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336">
        <v>0</v>
      </c>
      <c r="D32" s="337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336">
        <v>0</v>
      </c>
      <c r="D33" s="337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284">
        <f>C35</f>
        <v>0</v>
      </c>
      <c r="D34" s="284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268</v>
      </c>
      <c r="C35" s="336">
        <v>0</v>
      </c>
      <c r="D35" s="337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4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36">
        <f>C38</f>
        <v>0</v>
      </c>
      <c r="D37" s="346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hidden="1" customHeight="1">
      <c r="A38" s="7">
        <v>1170505005</v>
      </c>
      <c r="B38" s="11" t="s">
        <v>221</v>
      </c>
      <c r="C38" s="336">
        <v>0</v>
      </c>
      <c r="D38" s="337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40">
        <f>SUM(C4,C25)</f>
        <v>4232.33</v>
      </c>
      <c r="D39" s="340">
        <f>D4+D25</f>
        <v>765.31078000000002</v>
      </c>
      <c r="E39" s="5">
        <f t="shared" si="0"/>
        <v>18.082493094820112</v>
      </c>
      <c r="F39" s="5">
        <f t="shared" si="1"/>
        <v>-3467.0192200000001</v>
      </c>
    </row>
    <row r="40" spans="1:7" s="6" customFormat="1">
      <c r="A40" s="3">
        <v>2000000000</v>
      </c>
      <c r="B40" s="4" t="s">
        <v>20</v>
      </c>
      <c r="C40" s="284">
        <f>C41+C43+C45+C46+C47+C48+C42+C44</f>
        <v>2700.7290000000003</v>
      </c>
      <c r="D40" s="284">
        <f>D41+D43+D45+D46+D47+D48+D42</f>
        <v>824.40200000000004</v>
      </c>
      <c r="E40" s="5">
        <f t="shared" si="0"/>
        <v>30.525165612691978</v>
      </c>
      <c r="F40" s="5">
        <f t="shared" si="1"/>
        <v>-1876.3270000000002</v>
      </c>
      <c r="G40" s="19"/>
    </row>
    <row r="41" spans="1:7">
      <c r="A41" s="16">
        <v>2021000000</v>
      </c>
      <c r="B41" s="17" t="s">
        <v>21</v>
      </c>
      <c r="C41" s="341">
        <v>1128.914</v>
      </c>
      <c r="D41" s="342">
        <v>664.91600000000005</v>
      </c>
      <c r="E41" s="9">
        <f t="shared" si="0"/>
        <v>58.898729221180716</v>
      </c>
      <c r="F41" s="9">
        <f t="shared" si="1"/>
        <v>-463.99799999999993</v>
      </c>
    </row>
    <row r="42" spans="1:7" ht="17.25" customHeight="1">
      <c r="A42" s="16">
        <v>2021500200</v>
      </c>
      <c r="B42" s="17" t="s">
        <v>232</v>
      </c>
      <c r="C42" s="341">
        <v>0</v>
      </c>
      <c r="D42" s="342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41">
        <v>1190.3900000000001</v>
      </c>
      <c r="D43" s="337">
        <v>85.141999999999996</v>
      </c>
      <c r="E43" s="9">
        <f t="shared" si="0"/>
        <v>7.1524458370786039</v>
      </c>
      <c r="F43" s="9">
        <f t="shared" si="1"/>
        <v>-1105.248</v>
      </c>
    </row>
    <row r="44" spans="1:7" ht="0.75" hidden="1" customHeight="1">
      <c r="A44" s="16">
        <v>2022999910</v>
      </c>
      <c r="B44" s="18" t="s">
        <v>352</v>
      </c>
      <c r="C44" s="341">
        <v>0</v>
      </c>
      <c r="D44" s="337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8">
        <v>157.59899999999999</v>
      </c>
      <c r="D45" s="343">
        <v>74.343999999999994</v>
      </c>
      <c r="E45" s="9">
        <f t="shared" si="0"/>
        <v>47.172888152843605</v>
      </c>
      <c r="F45" s="9">
        <f t="shared" si="1"/>
        <v>-83.254999999999995</v>
      </c>
    </row>
    <row r="46" spans="1:7" hidden="1">
      <c r="A46" s="16">
        <v>2020400000</v>
      </c>
      <c r="B46" s="17" t="s">
        <v>24</v>
      </c>
      <c r="C46" s="338"/>
      <c r="D46" s="344"/>
      <c r="E46" s="9" t="e">
        <f t="shared" si="0"/>
        <v>#DIV/0!</v>
      </c>
      <c r="F46" s="9">
        <f t="shared" si="1"/>
        <v>0</v>
      </c>
    </row>
    <row r="47" spans="1:7">
      <c r="A47" s="7">
        <v>2070500010</v>
      </c>
      <c r="B47" s="17" t="s">
        <v>359</v>
      </c>
      <c r="C47" s="338">
        <v>223.82599999999999</v>
      </c>
      <c r="D47" s="344">
        <v>0</v>
      </c>
      <c r="E47" s="9">
        <f t="shared" si="0"/>
        <v>0</v>
      </c>
      <c r="F47" s="9">
        <f t="shared" si="1"/>
        <v>-223.82599999999999</v>
      </c>
    </row>
    <row r="48" spans="1:7" hidden="1">
      <c r="A48" s="7">
        <v>2190500005</v>
      </c>
      <c r="B48" s="11" t="s">
        <v>26</v>
      </c>
      <c r="C48" s="339"/>
      <c r="D48" s="339"/>
      <c r="E48" s="5"/>
      <c r="F48" s="5">
        <f>SUM(D48-C48)</f>
        <v>0</v>
      </c>
    </row>
    <row r="49" spans="1:8" s="6" customFormat="1" ht="31.5" hidden="1">
      <c r="A49" s="3">
        <v>3000000000</v>
      </c>
      <c r="B49" s="13" t="s">
        <v>27</v>
      </c>
      <c r="C49" s="345">
        <v>0</v>
      </c>
      <c r="D49" s="339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402">
        <f>C39+C40</f>
        <v>6933.0590000000002</v>
      </c>
      <c r="D50" s="401">
        <f>D39+D40</f>
        <v>1589.7127800000001</v>
      </c>
      <c r="E50" s="284">
        <f t="shared" si="0"/>
        <v>22.929456968417551</v>
      </c>
      <c r="F50" s="93">
        <f t="shared" si="1"/>
        <v>-5343.3462200000004</v>
      </c>
      <c r="G50" s="151"/>
      <c r="H50" s="300"/>
    </row>
    <row r="51" spans="1:8" s="6" customFormat="1">
      <c r="A51" s="3"/>
      <c r="B51" s="21" t="s">
        <v>321</v>
      </c>
      <c r="C51" s="93">
        <f>C50-C96</f>
        <v>-476.83370000000014</v>
      </c>
      <c r="D51" s="93">
        <f>D50-D96</f>
        <v>-990.56618000000003</v>
      </c>
      <c r="E51" s="32"/>
      <c r="F51" s="32"/>
    </row>
    <row r="52" spans="1:8">
      <c r="A52" s="23"/>
      <c r="B52" s="24"/>
      <c r="C52" s="333"/>
      <c r="D52" s="333"/>
      <c r="E52" s="26"/>
      <c r="F52" s="27"/>
    </row>
    <row r="53" spans="1:8" ht="45.75" customHeight="1">
      <c r="A53" s="28" t="s">
        <v>1</v>
      </c>
      <c r="B53" s="28" t="s">
        <v>29</v>
      </c>
      <c r="C53" s="244" t="s">
        <v>346</v>
      </c>
      <c r="D53" s="245" t="s">
        <v>361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1604.3</v>
      </c>
      <c r="D55" s="32">
        <f>D56+D57+D58+D59+D60+D62+D61</f>
        <v>677.58407</v>
      </c>
      <c r="E55" s="34">
        <f>SUM(D55/C55*100)</f>
        <v>42.235496478214799</v>
      </c>
      <c r="F55" s="34">
        <f>SUM(D55-C55)</f>
        <v>-926.71592999999996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1593.7139999999999</v>
      </c>
      <c r="D57" s="37">
        <v>672.47707000000003</v>
      </c>
      <c r="E57" s="38">
        <f t="shared" ref="E57:E69" si="3">SUM(D57/C57*100)</f>
        <v>42.195592810253288</v>
      </c>
      <c r="F57" s="38">
        <f t="shared" ref="F57:F69" si="4">SUM(D57-C57)</f>
        <v>-921.23692999999992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5.5860000000000003</v>
      </c>
      <c r="D62" s="37">
        <v>5.1070000000000002</v>
      </c>
      <c r="E62" s="38">
        <f t="shared" si="3"/>
        <v>91.424991049051201</v>
      </c>
      <c r="F62" s="38">
        <f t="shared" si="4"/>
        <v>-0.47900000000000009</v>
      </c>
    </row>
    <row r="63" spans="1:8" s="6" customFormat="1">
      <c r="A63" s="41" t="s">
        <v>46</v>
      </c>
      <c r="B63" s="42" t="s">
        <v>47</v>
      </c>
      <c r="C63" s="32">
        <f>C64</f>
        <v>150.881</v>
      </c>
      <c r="D63" s="32">
        <f>D64</f>
        <v>54.826630000000002</v>
      </c>
      <c r="E63" s="34">
        <f t="shared" si="3"/>
        <v>36.33766345663139</v>
      </c>
      <c r="F63" s="34">
        <f t="shared" si="4"/>
        <v>-96.054370000000006</v>
      </c>
    </row>
    <row r="64" spans="1:8">
      <c r="A64" s="43" t="s">
        <v>48</v>
      </c>
      <c r="B64" s="44" t="s">
        <v>49</v>
      </c>
      <c r="C64" s="37">
        <v>150.881</v>
      </c>
      <c r="D64" s="37">
        <v>54.826630000000002</v>
      </c>
      <c r="E64" s="38">
        <f t="shared" si="3"/>
        <v>36.33766345663139</v>
      </c>
      <c r="F64" s="38">
        <f t="shared" si="4"/>
        <v>-96.054370000000006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4.4000000000000004</v>
      </c>
      <c r="D65" s="32">
        <f>D68+D69</f>
        <v>0.6</v>
      </c>
      <c r="E65" s="34">
        <f t="shared" si="3"/>
        <v>13.636363636363635</v>
      </c>
      <c r="F65" s="34">
        <f t="shared" si="4"/>
        <v>-3.8000000000000003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2</v>
      </c>
      <c r="D68" s="37">
        <v>0</v>
      </c>
      <c r="E68" s="34">
        <f t="shared" si="3"/>
        <v>0</v>
      </c>
      <c r="F68" s="34">
        <f t="shared" si="4"/>
        <v>-2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0.6</v>
      </c>
      <c r="E69" s="38">
        <f t="shared" si="3"/>
        <v>25</v>
      </c>
      <c r="F69" s="38">
        <f t="shared" si="4"/>
        <v>-1.7999999999999998</v>
      </c>
    </row>
    <row r="70" spans="1:7">
      <c r="A70" s="30" t="s">
        <v>58</v>
      </c>
      <c r="B70" s="31" t="s">
        <v>59</v>
      </c>
      <c r="C70" s="48">
        <f>SUM(C71:C74)</f>
        <v>2730.2977000000001</v>
      </c>
      <c r="D70" s="48">
        <f>SUM(D71:D74)</f>
        <v>622.69497000000001</v>
      </c>
      <c r="E70" s="34">
        <f t="shared" ref="E70:E85" si="5">SUM(D70/C70*100)</f>
        <v>22.80685252747347</v>
      </c>
      <c r="F70" s="34">
        <f t="shared" ref="F70:F85" si="6">SUM(D70-C70)</f>
        <v>-2107.6027300000001</v>
      </c>
    </row>
    <row r="71" spans="1:7" s="6" customFormat="1" ht="17.25" customHeight="1">
      <c r="A71" s="35" t="s">
        <v>60</v>
      </c>
      <c r="B71" s="39" t="s">
        <v>61</v>
      </c>
      <c r="C71" s="49">
        <v>19.417999999999999</v>
      </c>
      <c r="D71" s="37">
        <v>2.7210000000000001</v>
      </c>
      <c r="E71" s="38">
        <f t="shared" si="5"/>
        <v>14.012771655165313</v>
      </c>
      <c r="F71" s="38">
        <f t="shared" si="6"/>
        <v>-16.696999999999999</v>
      </c>
      <c r="G71" s="50"/>
    </row>
    <row r="72" spans="1:7">
      <c r="A72" s="35" t="s">
        <v>62</v>
      </c>
      <c r="B72" s="39" t="s">
        <v>63</v>
      </c>
      <c r="C72" s="49">
        <v>463.4</v>
      </c>
      <c r="D72" s="37">
        <v>298.41552000000001</v>
      </c>
      <c r="E72" s="38">
        <f t="shared" si="5"/>
        <v>64.396961588260694</v>
      </c>
      <c r="F72" s="38">
        <f t="shared" si="6"/>
        <v>-164.98447999999996</v>
      </c>
    </row>
    <row r="73" spans="1:7">
      <c r="A73" s="35" t="s">
        <v>64</v>
      </c>
      <c r="B73" s="39" t="s">
        <v>65</v>
      </c>
      <c r="C73" s="49">
        <v>2167.4796999999999</v>
      </c>
      <c r="D73" s="37">
        <v>319.55844999999999</v>
      </c>
      <c r="E73" s="38">
        <f t="shared" si="5"/>
        <v>14.743319164650078</v>
      </c>
      <c r="F73" s="38">
        <f t="shared" si="6"/>
        <v>-1847.9212499999999</v>
      </c>
    </row>
    <row r="74" spans="1:7" s="6" customFormat="1">
      <c r="A74" s="35" t="s">
        <v>66</v>
      </c>
      <c r="B74" s="39" t="s">
        <v>67</v>
      </c>
      <c r="C74" s="49">
        <v>80</v>
      </c>
      <c r="D74" s="37">
        <v>2</v>
      </c>
      <c r="E74" s="38">
        <f t="shared" si="5"/>
        <v>2.5</v>
      </c>
      <c r="F74" s="38">
        <f t="shared" si="6"/>
        <v>-78</v>
      </c>
    </row>
    <row r="75" spans="1:7" ht="17.25" customHeight="1">
      <c r="A75" s="30" t="s">
        <v>68</v>
      </c>
      <c r="B75" s="31" t="s">
        <v>69</v>
      </c>
      <c r="C75" s="32">
        <f>SUM(C76:C78)</f>
        <v>855.31399999999996</v>
      </c>
      <c r="D75" s="32">
        <f>SUM(D76:D78)</f>
        <v>456.87329</v>
      </c>
      <c r="E75" s="34">
        <f t="shared" si="5"/>
        <v>53.415855463607521</v>
      </c>
      <c r="F75" s="34">
        <f t="shared" si="6"/>
        <v>-398.44070999999997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855.31399999999996</v>
      </c>
      <c r="D78" s="37">
        <v>456.87329</v>
      </c>
      <c r="E78" s="38">
        <f t="shared" si="5"/>
        <v>53.415855463607521</v>
      </c>
      <c r="F78" s="38">
        <f t="shared" si="6"/>
        <v>-398.44070999999997</v>
      </c>
    </row>
    <row r="79" spans="1:7">
      <c r="A79" s="30" t="s">
        <v>86</v>
      </c>
      <c r="B79" s="31" t="s">
        <v>87</v>
      </c>
      <c r="C79" s="32">
        <f>C80</f>
        <v>2063.6999999999998</v>
      </c>
      <c r="D79" s="32">
        <f>D80</f>
        <v>767.7</v>
      </c>
      <c r="E79" s="34">
        <f t="shared" si="5"/>
        <v>37.200174443959881</v>
      </c>
      <c r="F79" s="34">
        <f t="shared" si="6"/>
        <v>-1295.9999999999998</v>
      </c>
    </row>
    <row r="80" spans="1:7" s="6" customFormat="1" ht="15" customHeight="1">
      <c r="A80" s="35" t="s">
        <v>88</v>
      </c>
      <c r="B80" s="39" t="s">
        <v>234</v>
      </c>
      <c r="C80" s="37">
        <v>2063.6999999999998</v>
      </c>
      <c r="D80" s="37">
        <v>767.7</v>
      </c>
      <c r="E80" s="38">
        <f t="shared" si="5"/>
        <v>37.200174443959881</v>
      </c>
      <c r="F80" s="38">
        <f t="shared" si="6"/>
        <v>-1295.9999999999998</v>
      </c>
    </row>
    <row r="81" spans="1:6" ht="20.2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hidden="1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402">
        <f>C55+C63+C65+C70+C75+C79+C81+C86+C92</f>
        <v>7409.8927000000003</v>
      </c>
      <c r="D96" s="402">
        <f>D55+D63+D65+D70+D75+D79+D81+D86+D92</f>
        <v>2580.2789600000001</v>
      </c>
      <c r="E96" s="34">
        <f t="shared" si="7"/>
        <v>34.822082646351951</v>
      </c>
      <c r="F96" s="34">
        <f>SUM(D96-C96)</f>
        <v>-4829.6137400000007</v>
      </c>
    </row>
    <row r="97" spans="1:6" s="65" customFormat="1" ht="22.5" customHeight="1">
      <c r="A97" s="63" t="s">
        <v>120</v>
      </c>
      <c r="B97" s="63"/>
      <c r="C97" s="250"/>
      <c r="D97" s="250"/>
    </row>
    <row r="98" spans="1:6" ht="16.5" customHeight="1">
      <c r="A98" s="66" t="s">
        <v>121</v>
      </c>
      <c r="B98" s="66"/>
      <c r="C98" s="250" t="s">
        <v>122</v>
      </c>
      <c r="D98" s="250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</sheetData>
  <customSheetViews>
    <customSheetView guid="{A54C432C-6C68-4B53-A75C-446EB3A61B2B}" scale="70" showPageBreaks="1" hiddenRows="1" view="pageBreakPreview" topLeftCell="A53">
      <selection activeCell="C96" activeCellId="1" sqref="C50:D51 C96:D9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3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1"/>
  <sheetViews>
    <sheetView view="pageBreakPreview" topLeftCell="A54" zoomScale="70" zoomScaleSheetLayoutView="70" workbookViewId="0">
      <selection activeCell="C97" sqref="C97:D97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371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4251.0099999999993</v>
      </c>
      <c r="D4" s="5">
        <f>D5+D12+D14+D7+D20+D17</f>
        <v>1505.8746599999999</v>
      </c>
      <c r="E4" s="5">
        <f>SUM(D4/C4*100)</f>
        <v>35.423926549220077</v>
      </c>
      <c r="F4" s="5">
        <f>SUM(D4-C4)</f>
        <v>-2745.1353399999994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769.86989000000005</v>
      </c>
      <c r="E5" s="5">
        <f t="shared" ref="E5:E51" si="0">SUM(D5/C5*100)</f>
        <v>47.399943972417191</v>
      </c>
      <c r="F5" s="5">
        <f t="shared" ref="F5:F51" si="1">SUM(D5-C5)</f>
        <v>-854.33010999999999</v>
      </c>
    </row>
    <row r="6" spans="1:6">
      <c r="A6" s="7">
        <v>1010200001</v>
      </c>
      <c r="B6" s="8" t="s">
        <v>229</v>
      </c>
      <c r="C6" s="91">
        <v>1624.2</v>
      </c>
      <c r="D6" s="10">
        <v>769.86989000000005</v>
      </c>
      <c r="E6" s="9">
        <f t="shared" ref="E6:E11" si="2">SUM(D6/C6*100)</f>
        <v>47.399943972417191</v>
      </c>
      <c r="F6" s="9">
        <f t="shared" si="1"/>
        <v>-854.33010999999999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169.22201000000001</v>
      </c>
      <c r="E7" s="9">
        <f t="shared" si="2"/>
        <v>48.333955042700865</v>
      </c>
      <c r="F7" s="9">
        <f t="shared" si="1"/>
        <v>-180.88799</v>
      </c>
    </row>
    <row r="8" spans="1:6">
      <c r="A8" s="7">
        <v>1030223001</v>
      </c>
      <c r="B8" s="8" t="s">
        <v>283</v>
      </c>
      <c r="C8" s="9">
        <v>130.59</v>
      </c>
      <c r="D8" s="10">
        <v>73.337209999999999</v>
      </c>
      <c r="E8" s="9">
        <f t="shared" si="2"/>
        <v>56.158365877938586</v>
      </c>
      <c r="F8" s="9">
        <f t="shared" si="1"/>
        <v>-57.252790000000005</v>
      </c>
    </row>
    <row r="9" spans="1:6">
      <c r="A9" s="7">
        <v>1030224001</v>
      </c>
      <c r="B9" s="8" t="s">
        <v>289</v>
      </c>
      <c r="C9" s="9">
        <v>1.4</v>
      </c>
      <c r="D9" s="10">
        <v>0.55595000000000006</v>
      </c>
      <c r="E9" s="9">
        <f t="shared" si="2"/>
        <v>39.710714285714296</v>
      </c>
      <c r="F9" s="9">
        <f t="shared" si="1"/>
        <v>-0.84404999999999986</v>
      </c>
    </row>
    <row r="10" spans="1:6">
      <c r="A10" s="7">
        <v>1030225001</v>
      </c>
      <c r="B10" s="8" t="s">
        <v>282</v>
      </c>
      <c r="C10" s="9">
        <v>218.12</v>
      </c>
      <c r="D10" s="10">
        <v>110.56609</v>
      </c>
      <c r="E10" s="9">
        <f t="shared" si="2"/>
        <v>50.690486887951593</v>
      </c>
      <c r="F10" s="9">
        <f t="shared" si="1"/>
        <v>-107.55391</v>
      </c>
    </row>
    <row r="11" spans="1:6">
      <c r="A11" s="7">
        <v>1030226001</v>
      </c>
      <c r="B11" s="8" t="s">
        <v>291</v>
      </c>
      <c r="C11" s="9">
        <v>0</v>
      </c>
      <c r="D11" s="10">
        <v>-15.23724</v>
      </c>
      <c r="E11" s="9" t="e">
        <f t="shared" si="2"/>
        <v>#DIV/0!</v>
      </c>
      <c r="F11" s="9">
        <f t="shared" si="1"/>
        <v>-15.23724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50</v>
      </c>
      <c r="D12" s="5">
        <f>SUM(D13:D13)</f>
        <v>75.132620000000003</v>
      </c>
      <c r="E12" s="5">
        <f t="shared" si="0"/>
        <v>150.26524000000001</v>
      </c>
      <c r="F12" s="5">
        <f t="shared" si="1"/>
        <v>25.132620000000003</v>
      </c>
    </row>
    <row r="13" spans="1:6" ht="15.75" customHeight="1">
      <c r="A13" s="7">
        <v>1050300000</v>
      </c>
      <c r="B13" s="11" t="s">
        <v>230</v>
      </c>
      <c r="C13" s="12">
        <v>50</v>
      </c>
      <c r="D13" s="10">
        <v>75.132620000000003</v>
      </c>
      <c r="E13" s="9">
        <f t="shared" si="0"/>
        <v>150.26524000000001</v>
      </c>
      <c r="F13" s="9">
        <f t="shared" si="1"/>
        <v>25.132620000000003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491.65014000000002</v>
      </c>
      <c r="E14" s="5">
        <f t="shared" si="0"/>
        <v>22.079765572371674</v>
      </c>
      <c r="F14" s="5">
        <f t="shared" si="1"/>
        <v>-1735.0498599999999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31.30707</v>
      </c>
      <c r="E15" s="9">
        <f t="shared" si="0"/>
        <v>5.6921945454545453</v>
      </c>
      <c r="F15" s="9">
        <f>SUM(D15-C15)</f>
        <v>-518.69293000000005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460.34307000000001</v>
      </c>
      <c r="E16" s="9">
        <f t="shared" si="0"/>
        <v>27.455303274288784</v>
      </c>
      <c r="F16" s="9">
        <f t="shared" si="1"/>
        <v>-1216.3569299999999</v>
      </c>
    </row>
    <row r="17" spans="1:6" s="6" customFormat="1" ht="0.75" hidden="1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-3.153459999999999</v>
      </c>
      <c r="E25" s="5">
        <f t="shared" si="0"/>
        <v>-15.767299999999995</v>
      </c>
      <c r="F25" s="5">
        <f t="shared" si="1"/>
        <v>-23.153459999999999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4271.0099999999993</v>
      </c>
      <c r="D39" s="127">
        <f>D4+D25</f>
        <v>1502.7212</v>
      </c>
      <c r="E39" s="5">
        <f t="shared" si="0"/>
        <v>35.184211696999071</v>
      </c>
      <c r="F39" s="5">
        <f t="shared" si="1"/>
        <v>-2768.2887999999994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5231.3419999999996</v>
      </c>
      <c r="D40" s="5">
        <f>D41+D43+D45+D46+D47+D49+D42+D48</f>
        <v>3109.5820000000003</v>
      </c>
      <c r="E40" s="5">
        <f t="shared" si="0"/>
        <v>59.441382345103811</v>
      </c>
      <c r="F40" s="5">
        <f t="shared" si="1"/>
        <v>-2121.7599999999993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2830.34</v>
      </c>
      <c r="E41" s="9">
        <f t="shared" si="0"/>
        <v>62.720603747360734</v>
      </c>
      <c r="F41" s="9">
        <f t="shared" si="1"/>
        <v>-1682.2759999999998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83">
        <v>583.03</v>
      </c>
      <c r="D43" s="10">
        <v>157.24199999999999</v>
      </c>
      <c r="E43" s="9">
        <f t="shared" si="0"/>
        <v>26.969795722347051</v>
      </c>
      <c r="F43" s="9">
        <f t="shared" si="1"/>
        <v>-425.78800000000001</v>
      </c>
    </row>
    <row r="44" spans="1:7" ht="0.75" hidden="1" customHeight="1">
      <c r="A44" s="16">
        <v>2022999910</v>
      </c>
      <c r="B44" s="18" t="s">
        <v>352</v>
      </c>
      <c r="C44" s="283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2">
        <v>0</v>
      </c>
      <c r="E45" s="9">
        <f t="shared" si="0"/>
        <v>0</v>
      </c>
      <c r="F45" s="9">
        <f t="shared" si="1"/>
        <v>-15.396000000000001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/>
      <c r="D47" s="253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3">
        <v>122</v>
      </c>
      <c r="E48" s="9">
        <f>SUM(D48/C48*100)</f>
        <v>101.41313383208646</v>
      </c>
      <c r="F48" s="9">
        <f>SUM(D48-C48)</f>
        <v>1.7000000000000028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81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93">
        <f>SUM(C39,C40,C50)</f>
        <v>9502.351999999999</v>
      </c>
      <c r="D51" s="401">
        <f>D39+D40</f>
        <v>4612.3032000000003</v>
      </c>
      <c r="E51" s="93">
        <f t="shared" si="0"/>
        <v>48.53854287864732</v>
      </c>
      <c r="F51" s="93">
        <f t="shared" si="1"/>
        <v>-4890.0487999999987</v>
      </c>
      <c r="G51" s="151"/>
    </row>
    <row r="52" spans="1:7" s="6" customFormat="1" ht="23.25" customHeight="1">
      <c r="A52" s="3"/>
      <c r="B52" s="21" t="s">
        <v>321</v>
      </c>
      <c r="C52" s="93">
        <f>C51-C97</f>
        <v>17.526829999998881</v>
      </c>
      <c r="D52" s="93">
        <f>D51-D97</f>
        <v>606.34382000000051</v>
      </c>
      <c r="E52" s="285"/>
      <c r="F52" s="285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361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1741.6179999999999</v>
      </c>
      <c r="D56" s="33">
        <f>D57+D58+D59+D60+D61+D63+D62</f>
        <v>790.02712999999994</v>
      </c>
      <c r="E56" s="34">
        <f>SUM(D56/C56*100)</f>
        <v>45.361676900445445</v>
      </c>
      <c r="F56" s="34">
        <f>SUM(D56-C56)</f>
        <v>-951.59087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1709.9159999999999</v>
      </c>
      <c r="D58" s="37">
        <v>778.32512999999994</v>
      </c>
      <c r="E58" s="38">
        <f t="shared" ref="E58:E97" si="3">SUM(D58/C58*100)</f>
        <v>45.51832546160162</v>
      </c>
      <c r="F58" s="38">
        <f t="shared" ref="F58:F97" si="4">SUM(D58-C58)</f>
        <v>-931.59087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7" ht="15.75" customHeight="1">
      <c r="A63" s="35" t="s">
        <v>44</v>
      </c>
      <c r="B63" s="39" t="s">
        <v>45</v>
      </c>
      <c r="C63" s="97">
        <v>11.702</v>
      </c>
      <c r="D63" s="37">
        <v>11.702</v>
      </c>
      <c r="E63" s="38">
        <f t="shared" si="3"/>
        <v>100</v>
      </c>
      <c r="F63" s="38">
        <f t="shared" si="4"/>
        <v>0</v>
      </c>
    </row>
    <row r="64" spans="1:7" s="6" customFormat="1" ht="15.75" hidden="1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1647.65717</v>
      </c>
      <c r="D71" s="48">
        <f>SUM(D72:D75)</f>
        <v>482.31810999999999</v>
      </c>
      <c r="E71" s="34">
        <f t="shared" si="3"/>
        <v>29.272965200643043</v>
      </c>
      <c r="F71" s="34">
        <f t="shared" si="4"/>
        <v>-1165.33906</v>
      </c>
    </row>
    <row r="72" spans="1:7" ht="15" customHeight="1">
      <c r="A72" s="35" t="s">
        <v>60</v>
      </c>
      <c r="B72" s="39" t="s">
        <v>61</v>
      </c>
      <c r="C72" s="49">
        <v>44.396000000000001</v>
      </c>
      <c r="D72" s="37">
        <v>0</v>
      </c>
      <c r="E72" s="38">
        <f t="shared" si="3"/>
        <v>0</v>
      </c>
      <c r="F72" s="38">
        <f t="shared" si="4"/>
        <v>-44.396000000000001</v>
      </c>
    </row>
    <row r="73" spans="1:7" s="6" customFormat="1" ht="15.75" customHeight="1">
      <c r="A73" s="35" t="s">
        <v>62</v>
      </c>
      <c r="B73" s="39" t="s">
        <v>63</v>
      </c>
      <c r="C73" s="49">
        <v>229.309</v>
      </c>
      <c r="D73" s="37">
        <v>133.92374000000001</v>
      </c>
      <c r="E73" s="38">
        <f t="shared" si="3"/>
        <v>58.403176499832114</v>
      </c>
      <c r="F73" s="38">
        <f t="shared" si="4"/>
        <v>-95.385259999999988</v>
      </c>
      <c r="G73" s="50"/>
    </row>
    <row r="74" spans="1:7" ht="15" customHeight="1">
      <c r="A74" s="35" t="s">
        <v>64</v>
      </c>
      <c r="B74" s="39" t="s">
        <v>65</v>
      </c>
      <c r="C74" s="49">
        <v>1073.95217</v>
      </c>
      <c r="D74" s="37">
        <v>285.89436999999998</v>
      </c>
      <c r="E74" s="38">
        <f t="shared" si="3"/>
        <v>26.620773064781833</v>
      </c>
      <c r="F74" s="38">
        <f t="shared" si="4"/>
        <v>-788.05780000000004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62.5</v>
      </c>
      <c r="E75" s="38">
        <f t="shared" si="3"/>
        <v>20.833333333333336</v>
      </c>
      <c r="F75" s="38">
        <f t="shared" si="4"/>
        <v>-237.5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3666.25</v>
      </c>
      <c r="D76" s="32">
        <f>D77+D78+D79+D82</f>
        <v>1347.6141399999999</v>
      </c>
      <c r="E76" s="34">
        <f t="shared" si="3"/>
        <v>36.757289873849295</v>
      </c>
      <c r="F76" s="34">
        <f t="shared" si="4"/>
        <v>-2318.6358600000003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3666.25</v>
      </c>
      <c r="D79" s="37">
        <v>1347.6141399999999</v>
      </c>
      <c r="E79" s="38">
        <f t="shared" si="3"/>
        <v>36.757289873849295</v>
      </c>
      <c r="F79" s="38">
        <f t="shared" si="4"/>
        <v>-2318.6358600000003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1386</v>
      </c>
      <c r="E80" s="38">
        <f t="shared" si="3"/>
        <v>58.375100029482375</v>
      </c>
      <c r="F80" s="38">
        <f t="shared" si="4"/>
        <v>-988.30000000000018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1386</v>
      </c>
      <c r="E81" s="38">
        <f t="shared" si="3"/>
        <v>58.375100029482375</v>
      </c>
      <c r="F81" s="38">
        <f t="shared" si="4"/>
        <v>-988.30000000000018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40"/>
      <c r="D95" s="241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402">
        <f>C56+C71+C76+C83+C88+C94+C66+C80</f>
        <v>9484.8251700000001</v>
      </c>
      <c r="D97" s="402">
        <f>D56+D71+D76+D83+D88+D94+D66+D80</f>
        <v>4005.9593799999998</v>
      </c>
      <c r="E97" s="34">
        <f t="shared" si="3"/>
        <v>42.235458305237266</v>
      </c>
      <c r="F97" s="34">
        <f t="shared" si="4"/>
        <v>-5478.8657899999998</v>
      </c>
    </row>
    <row r="98" spans="1:6" ht="20.25" customHeight="1">
      <c r="D98" s="246"/>
    </row>
    <row r="99" spans="1:6" s="65" customFormat="1" ht="13.5" customHeight="1">
      <c r="A99" s="63" t="s">
        <v>120</v>
      </c>
      <c r="B99" s="63"/>
      <c r="C99" s="119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 ht="5.25" customHeight="1"/>
  </sheetData>
  <customSheetViews>
    <customSheetView guid="{A54C432C-6C68-4B53-A75C-446EB3A61B2B}" scale="70" showPageBreaks="1" printArea="1" hiddenRows="1" view="pageBreakPreview" topLeftCell="A26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printArea="1" hiddenRows="1" view="pageBreakPreview">
      <selection activeCell="A2" sqref="A2:F2"/>
      <pageMargins left="0.7" right="0.7" top="0.75" bottom="0.75" header="0.3" footer="0.3"/>
      <pageSetup paperSize="9" scale="50" orientation="portrait" r:id="rId2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3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4"/>
  <sheetViews>
    <sheetView view="pageBreakPreview" topLeftCell="A61" zoomScale="70" zoomScaleSheetLayoutView="70" workbookViewId="0">
      <selection activeCell="D101" sqref="C101:D10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1.28515625" style="62" customWidth="1"/>
    <col min="6" max="6" width="13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2" t="s">
        <v>372</v>
      </c>
      <c r="B1" s="452"/>
      <c r="C1" s="452"/>
      <c r="D1" s="452"/>
      <c r="E1" s="452"/>
      <c r="F1" s="452"/>
    </row>
    <row r="2" spans="1:6">
      <c r="A2" s="452"/>
      <c r="B2" s="452"/>
      <c r="C2" s="452"/>
      <c r="D2" s="452"/>
      <c r="E2" s="452"/>
      <c r="F2" s="452"/>
    </row>
    <row r="3" spans="1:6" ht="63">
      <c r="A3" s="2" t="s">
        <v>1</v>
      </c>
      <c r="B3" s="2" t="s">
        <v>2</v>
      </c>
      <c r="C3" s="72" t="s">
        <v>346</v>
      </c>
      <c r="D3" s="73" t="s">
        <v>365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4631.7</v>
      </c>
      <c r="D4" s="5">
        <f>D5+D12+D14+D17+D20+D7</f>
        <v>1631.4857499999998</v>
      </c>
      <c r="E4" s="5">
        <f>SUM(D4/C4*100)</f>
        <v>35.224339875207804</v>
      </c>
      <c r="F4" s="5">
        <f>SUM(D4-C4)</f>
        <v>-3000.21425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580.54786999999999</v>
      </c>
      <c r="E5" s="5">
        <f t="shared" ref="E5:E51" si="0">SUM(D5/C5*100)</f>
        <v>44.320014504924039</v>
      </c>
      <c r="F5" s="5">
        <f t="shared" ref="F5:F51" si="1">SUM(D5-C5)</f>
        <v>-729.3521300000001</v>
      </c>
    </row>
    <row r="6" spans="1:6">
      <c r="A6" s="7">
        <v>1010200001</v>
      </c>
      <c r="B6" s="8" t="s">
        <v>229</v>
      </c>
      <c r="C6" s="9">
        <v>1309.9000000000001</v>
      </c>
      <c r="D6" s="10">
        <v>580.54786999999999</v>
      </c>
      <c r="E6" s="9">
        <f t="shared" ref="E6:E11" si="2">SUM(D6/C6*100)</f>
        <v>44.320014504924039</v>
      </c>
      <c r="F6" s="9">
        <f t="shared" si="1"/>
        <v>-729.3521300000001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319.87084000000004</v>
      </c>
      <c r="E7" s="9">
        <f t="shared" si="2"/>
        <v>48.333460259897258</v>
      </c>
      <c r="F7" s="9">
        <f t="shared" si="1"/>
        <v>-341.92915999999991</v>
      </c>
    </row>
    <row r="8" spans="1:6">
      <c r="A8" s="7">
        <v>1030223001</v>
      </c>
      <c r="B8" s="8" t="s">
        <v>283</v>
      </c>
      <c r="C8" s="9">
        <v>246.85</v>
      </c>
      <c r="D8" s="10">
        <v>138.62521000000001</v>
      </c>
      <c r="E8" s="9">
        <f t="shared" si="2"/>
        <v>56.157670650192429</v>
      </c>
      <c r="F8" s="9">
        <f t="shared" si="1"/>
        <v>-108.22478999999998</v>
      </c>
    </row>
    <row r="9" spans="1:6">
      <c r="A9" s="7">
        <v>1030224001</v>
      </c>
      <c r="B9" s="8" t="s">
        <v>289</v>
      </c>
      <c r="C9" s="9">
        <v>2.65</v>
      </c>
      <c r="D9" s="10">
        <v>1.0508999999999999</v>
      </c>
      <c r="E9" s="9">
        <f t="shared" si="2"/>
        <v>39.656603773584905</v>
      </c>
      <c r="F9" s="9">
        <f t="shared" si="1"/>
        <v>-1.5991</v>
      </c>
    </row>
    <row r="10" spans="1:6">
      <c r="A10" s="7">
        <v>1030225001</v>
      </c>
      <c r="B10" s="8" t="s">
        <v>282</v>
      </c>
      <c r="C10" s="9">
        <v>412.3</v>
      </c>
      <c r="D10" s="10">
        <v>208.99694</v>
      </c>
      <c r="E10" s="9">
        <f t="shared" si="2"/>
        <v>50.690502061605628</v>
      </c>
      <c r="F10" s="9">
        <f t="shared" si="1"/>
        <v>-203.30306000000002</v>
      </c>
    </row>
    <row r="11" spans="1:6">
      <c r="A11" s="7">
        <v>1030226001</v>
      </c>
      <c r="B11" s="8" t="s">
        <v>292</v>
      </c>
      <c r="C11" s="9">
        <v>0</v>
      </c>
      <c r="D11" s="10">
        <v>-28.802209999999999</v>
      </c>
      <c r="E11" s="9" t="e">
        <f t="shared" si="2"/>
        <v>#DIV/0!</v>
      </c>
      <c r="F11" s="9">
        <f t="shared" si="1"/>
        <v>-28.802209999999999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2640</v>
      </c>
      <c r="D14" s="5">
        <f>D15+D16</f>
        <v>697.27463999999998</v>
      </c>
      <c r="E14" s="5">
        <f t="shared" si="0"/>
        <v>26.411918181818184</v>
      </c>
      <c r="F14" s="5">
        <f t="shared" si="1"/>
        <v>-1942.7253599999999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6.0961499999999997</v>
      </c>
      <c r="E15" s="9">
        <f t="shared" si="0"/>
        <v>3.2084999999999995</v>
      </c>
      <c r="F15" s="9">
        <f>SUM(D15-C15)</f>
        <v>-183.90385000000001</v>
      </c>
    </row>
    <row r="16" spans="1:6" ht="15.75" customHeight="1">
      <c r="A16" s="7">
        <v>1060600000</v>
      </c>
      <c r="B16" s="11" t="s">
        <v>8</v>
      </c>
      <c r="C16" s="9">
        <v>2450</v>
      </c>
      <c r="D16" s="10">
        <v>691.17849000000001</v>
      </c>
      <c r="E16" s="9">
        <f t="shared" si="0"/>
        <v>28.211366938775512</v>
      </c>
      <c r="F16" s="9">
        <f t="shared" si="1"/>
        <v>-1758.82151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5.35</v>
      </c>
      <c r="E17" s="5">
        <f t="shared" si="0"/>
        <v>53.499999999999993</v>
      </c>
      <c r="F17" s="5">
        <f t="shared" si="1"/>
        <v>-4.6500000000000004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5.35</v>
      </c>
      <c r="E18" s="9">
        <f t="shared" si="0"/>
        <v>53.499999999999993</v>
      </c>
      <c r="F18" s="9">
        <f t="shared" si="1"/>
        <v>-4.6500000000000004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hidden="1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4633.7</v>
      </c>
      <c r="D39" s="127">
        <f>SUM(D4,D25)</f>
        <v>1631.2323599999997</v>
      </c>
      <c r="E39" s="5">
        <f t="shared" si="0"/>
        <v>35.203667911172495</v>
      </c>
      <c r="F39" s="5">
        <f t="shared" si="1"/>
        <v>-3002.4676399999998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1901.42</v>
      </c>
      <c r="D40" s="5">
        <f>D41+D43+D45+D46+D47+D48+D42+D44+D50</f>
        <v>488.85299999999995</v>
      </c>
      <c r="E40" s="5">
        <f t="shared" si="0"/>
        <v>25.709890502887312</v>
      </c>
      <c r="F40" s="5">
        <f t="shared" si="1"/>
        <v>-1412.567</v>
      </c>
      <c r="G40" s="19"/>
    </row>
    <row r="41" spans="1:7" ht="18.75" customHeight="1">
      <c r="A41" s="16">
        <v>2021000000</v>
      </c>
      <c r="B41" s="17" t="s">
        <v>21</v>
      </c>
      <c r="C41" s="12">
        <v>35.76</v>
      </c>
      <c r="D41" s="20">
        <v>4.3460000000000001</v>
      </c>
      <c r="E41" s="9">
        <f t="shared" si="0"/>
        <v>12.153243847874721</v>
      </c>
      <c r="F41" s="9">
        <f t="shared" si="1"/>
        <v>-31.413999999999998</v>
      </c>
    </row>
    <row r="42" spans="1:7" ht="18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1436.52</v>
      </c>
      <c r="D43" s="10">
        <v>135.26300000000001</v>
      </c>
      <c r="E43" s="9">
        <f t="shared" si="0"/>
        <v>9.4160192687884621</v>
      </c>
      <c r="F43" s="9">
        <f t="shared" si="1"/>
        <v>-1301.2570000000001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154.24</v>
      </c>
      <c r="D45" s="252">
        <v>74.343999999999994</v>
      </c>
      <c r="E45" s="9">
        <f t="shared" si="0"/>
        <v>48.200207468879661</v>
      </c>
      <c r="F45" s="9">
        <f t="shared" si="1"/>
        <v>-79.896000000000015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2.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1.7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19.5" hidden="1" customHeight="1">
      <c r="A49" s="3">
        <v>3000000000</v>
      </c>
      <c r="B49" s="13" t="s">
        <v>27</v>
      </c>
      <c r="C49" s="28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93">
        <f>C39+C40</f>
        <v>6535.12</v>
      </c>
      <c r="D51" s="401">
        <f>D39+D40</f>
        <v>2120.0853599999996</v>
      </c>
      <c r="E51" s="5">
        <f t="shared" si="0"/>
        <v>32.441414388718179</v>
      </c>
      <c r="F51" s="5">
        <f t="shared" si="1"/>
        <v>-4415.0346399999999</v>
      </c>
      <c r="G51" s="94"/>
    </row>
    <row r="52" spans="1:7" s="6" customFormat="1">
      <c r="A52" s="3"/>
      <c r="B52" s="21" t="s">
        <v>322</v>
      </c>
      <c r="C52" s="93">
        <f>C51-C101</f>
        <v>-311.54800999999952</v>
      </c>
      <c r="D52" s="93">
        <f>D51-D101</f>
        <v>-164.28531000000066</v>
      </c>
      <c r="E52" s="22"/>
      <c r="F52" s="22"/>
    </row>
    <row r="53" spans="1:7">
      <c r="A53" s="23"/>
      <c r="B53" s="24"/>
      <c r="C53" s="251"/>
      <c r="D53" s="251"/>
      <c r="E53" s="26"/>
      <c r="F53" s="92"/>
    </row>
    <row r="54" spans="1:7" ht="42.75" customHeight="1">
      <c r="A54" s="28" t="s">
        <v>1</v>
      </c>
      <c r="B54" s="28" t="s">
        <v>29</v>
      </c>
      <c r="C54" s="244" t="s">
        <v>346</v>
      </c>
      <c r="D54" s="245" t="s">
        <v>361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1775.06</v>
      </c>
      <c r="D56" s="32">
        <f>D57+D58+D59+D60+D61+D63+D62</f>
        <v>823.64751000000001</v>
      </c>
      <c r="E56" s="34">
        <f>SUM(D56/C56*100)</f>
        <v>46.401108131556121</v>
      </c>
      <c r="F56" s="34">
        <f>SUM(D56-C56)</f>
        <v>-951.41248999999993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1764.577</v>
      </c>
      <c r="D58" s="37">
        <v>818.84905000000003</v>
      </c>
      <c r="E58" s="38">
        <f t="shared" ref="E58:E101" si="3">SUM(D58/C58*100)</f>
        <v>46.404835266468965</v>
      </c>
      <c r="F58" s="38">
        <f t="shared" ref="F58:F101" si="4">SUM(D58-C58)</f>
        <v>-945.72794999999996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4.7984600000000004</v>
      </c>
      <c r="E63" s="38">
        <f t="shared" si="3"/>
        <v>87.515228889294193</v>
      </c>
      <c r="F63" s="38">
        <f t="shared" si="4"/>
        <v>-0.68453999999999926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68.358230000000006</v>
      </c>
      <c r="E64" s="34">
        <f t="shared" si="3"/>
        <v>45.306055765802192</v>
      </c>
      <c r="F64" s="34">
        <f t="shared" si="4"/>
        <v>-82.522769999999994</v>
      </c>
    </row>
    <row r="65" spans="1:7">
      <c r="A65" s="43" t="s">
        <v>48</v>
      </c>
      <c r="B65" s="44" t="s">
        <v>49</v>
      </c>
      <c r="C65" s="37">
        <v>150.881</v>
      </c>
      <c r="D65" s="37">
        <v>68.358230000000006</v>
      </c>
      <c r="E65" s="38">
        <f t="shared" si="3"/>
        <v>45.306055765802192</v>
      </c>
      <c r="F65" s="38">
        <f t="shared" si="4"/>
        <v>-82.522769999999994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15</v>
      </c>
      <c r="D66" s="32">
        <f>D69+D70</f>
        <v>1.2</v>
      </c>
      <c r="E66" s="34">
        <f t="shared" si="3"/>
        <v>8</v>
      </c>
      <c r="F66" s="34">
        <f t="shared" si="4"/>
        <v>-13.8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1.2</v>
      </c>
      <c r="E70" s="34">
        <f t="shared" si="3"/>
        <v>12</v>
      </c>
      <c r="F70" s="34">
        <f t="shared" si="4"/>
        <v>-8.8000000000000007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2830.6750099999999</v>
      </c>
      <c r="D71" s="48">
        <f>SUM(D72:D75)</f>
        <v>628.04644000000008</v>
      </c>
      <c r="E71" s="34">
        <f t="shared" si="3"/>
        <v>22.18716164099672</v>
      </c>
      <c r="F71" s="34">
        <f t="shared" si="4"/>
        <v>-2202.6285699999999</v>
      </c>
    </row>
    <row r="72" spans="1:7" ht="18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5" customHeight="1">
      <c r="A73" s="35" t="s">
        <v>62</v>
      </c>
      <c r="B73" s="39" t="s">
        <v>63</v>
      </c>
      <c r="C73" s="49">
        <v>309.5</v>
      </c>
      <c r="D73" s="37">
        <v>205.34647000000001</v>
      </c>
      <c r="E73" s="38">
        <f t="shared" si="3"/>
        <v>66.347809369951534</v>
      </c>
      <c r="F73" s="38">
        <f t="shared" si="4"/>
        <v>-104.15352999999999</v>
      </c>
      <c r="G73" s="50"/>
    </row>
    <row r="74" spans="1:7">
      <c r="A74" s="35" t="s">
        <v>64</v>
      </c>
      <c r="B74" s="39" t="s">
        <v>65</v>
      </c>
      <c r="C74" s="49">
        <v>2311.4660100000001</v>
      </c>
      <c r="D74" s="37">
        <v>422.69997000000001</v>
      </c>
      <c r="E74" s="38">
        <f t="shared" si="3"/>
        <v>18.287094344943451</v>
      </c>
      <c r="F74" s="38">
        <f t="shared" si="4"/>
        <v>-1888.76604</v>
      </c>
    </row>
    <row r="75" spans="1:7">
      <c r="A75" s="35" t="s">
        <v>66</v>
      </c>
      <c r="B75" s="39" t="s">
        <v>67</v>
      </c>
      <c r="C75" s="49">
        <v>200</v>
      </c>
      <c r="D75" s="37">
        <v>0</v>
      </c>
      <c r="E75" s="38">
        <f t="shared" si="3"/>
        <v>0</v>
      </c>
      <c r="F75" s="38">
        <f t="shared" si="4"/>
        <v>-200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944.15</v>
      </c>
      <c r="D76" s="32">
        <f>SUM(D77:D80)</f>
        <v>381.21848999999997</v>
      </c>
      <c r="E76" s="34">
        <f t="shared" si="3"/>
        <v>40.376898797860505</v>
      </c>
      <c r="F76" s="34">
        <f t="shared" si="4"/>
        <v>-562.93151</v>
      </c>
    </row>
    <row r="77" spans="1:7" ht="17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944.15</v>
      </c>
      <c r="D79" s="37">
        <v>381.21848999999997</v>
      </c>
      <c r="E79" s="38">
        <f t="shared" si="3"/>
        <v>40.376898797860505</v>
      </c>
      <c r="F79" s="38">
        <f t="shared" si="4"/>
        <v>-562.93151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371.9</v>
      </c>
      <c r="E81" s="34">
        <f t="shared" si="3"/>
        <v>33.577103647526187</v>
      </c>
      <c r="F81" s="34">
        <f t="shared" si="4"/>
        <v>-735.69999999999993</v>
      </c>
    </row>
    <row r="82" spans="1:6" ht="18" customHeight="1">
      <c r="A82" s="35" t="s">
        <v>88</v>
      </c>
      <c r="B82" s="39" t="s">
        <v>234</v>
      </c>
      <c r="C82" s="37">
        <v>1107.5999999999999</v>
      </c>
      <c r="D82" s="37">
        <v>371.9</v>
      </c>
      <c r="E82" s="38">
        <f t="shared" si="3"/>
        <v>33.577103647526187</v>
      </c>
      <c r="F82" s="38">
        <f t="shared" si="4"/>
        <v>-735.69999999999993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hidden="1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hidden="1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23.302</v>
      </c>
      <c r="D91" s="32">
        <f>D92+D93+D94+D95+D96</f>
        <v>10</v>
      </c>
      <c r="E91" s="38">
        <f t="shared" si="3"/>
        <v>42.914771264269163</v>
      </c>
      <c r="F91" s="22">
        <f>F92+F93+F94+F95+F96</f>
        <v>-13.302</v>
      </c>
    </row>
    <row r="92" spans="1:6" ht="18.75" customHeight="1">
      <c r="A92" s="53">
        <v>1101</v>
      </c>
      <c r="B92" s="54" t="s">
        <v>98</v>
      </c>
      <c r="C92" s="37">
        <v>23.302</v>
      </c>
      <c r="D92" s="37">
        <v>10</v>
      </c>
      <c r="E92" s="38">
        <f t="shared" si="3"/>
        <v>42.914771264269163</v>
      </c>
      <c r="F92" s="38">
        <f>SUM(D92-C92)</f>
        <v>-13.302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hidden="1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hidden="1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402">
        <f>C56+C64+C66+C71+C76+C81+C84+C91+C97+C89</f>
        <v>6846.6680099999994</v>
      </c>
      <c r="D101" s="402">
        <f>D56+D64+D66+D71+D76+D81+D84+D91+D97+D89</f>
        <v>2284.3706700000002</v>
      </c>
      <c r="E101" s="34">
        <f t="shared" si="3"/>
        <v>33.3647062580445</v>
      </c>
      <c r="F101" s="34">
        <f t="shared" si="4"/>
        <v>-4562.2973399999992</v>
      </c>
    </row>
    <row r="102" spans="1:6">
      <c r="D102" s="246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</sheetData>
  <customSheetViews>
    <customSheetView guid="{A54C432C-6C68-4B53-A75C-446EB3A61B2B}" scale="70" showPageBreaks="1" hiddenRows="1" view="pageBreakPreview" topLeftCell="A25">
      <selection activeCell="C51" activeCellId="1" sqref="C101:D101 C51: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3" orientation="portrait" r:id="rId2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3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7</vt:i4>
      </vt:variant>
    </vt:vector>
  </HeadingPairs>
  <TitlesOfParts>
    <vt:vector size="26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2018-07-09T04:52:23Z</cp:lastPrinted>
  <dcterms:created xsi:type="dcterms:W3CDTF">1996-10-08T23:32:33Z</dcterms:created>
  <dcterms:modified xsi:type="dcterms:W3CDTF">2019-05-10T09:55:21Z</dcterms:modified>
</cp:coreProperties>
</file>