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5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</sheets>
  <definedNames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Иль!$A$1:$F$102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Тор!$A$1:$F$100</definedName>
    <definedName name="Z_42584DC0_1D41_4C93_9B38_C388E7B8DAC4_.wvu.PrintArea" localSheetId="15" hidden="1">Юнг!$A$1:$F$99</definedName>
    <definedName name="Z_42584DC0_1D41_4C93_9B38_C388E7B8DAC4_.wvu.PrintArea" localSheetId="17" hidden="1">Яра!$A$1:$F$100</definedName>
    <definedName name="Z_42584DC0_1D41_4C93_9B38_C388E7B8DAC4_.wvu.Rows" localSheetId="3" hidden="1">Але!$141:$141</definedName>
    <definedName name="Z_42584DC0_1D41_4C93_9B38_C388E7B8DAC4_.wvu.Rows" localSheetId="5" hidden="1">Иль!$141:$141</definedName>
    <definedName name="Z_42584DC0_1D41_4C93_9B38_C388E7B8DAC4_.wvu.Rows" localSheetId="6" hidden="1">Кад!$141:$141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Мор!$141:$141</definedName>
    <definedName name="Z_42584DC0_1D41_4C93_9B38_C388E7B8DAC4_.wvu.Rows" localSheetId="8" hidden="1">Мос!$141:$141</definedName>
    <definedName name="Z_42584DC0_1D41_4C93_9B38_C388E7B8DAC4_.wvu.Rows" localSheetId="9" hidden="1">Ори!$141:$141</definedName>
    <definedName name="Z_42584DC0_1D41_4C93_9B38_C388E7B8DAC4_.wvu.Rows" localSheetId="2" hidden="1">район!$17:$18,район!$20:$20,район!$28:$30,район!$49:$50,район!$74:$74,район!$81:$81,район!$98:$98,район!$103:$103,район!$130:$132</definedName>
    <definedName name="Z_42584DC0_1D41_4C93_9B38_C388E7B8DAC4_.wvu.Rows" localSheetId="1" hidden="1">Справка!$33:$33</definedName>
    <definedName name="Z_42584DC0_1D41_4C93_9B38_C388E7B8DAC4_.wvu.Rows" localSheetId="4" hidden="1">Сун!$141:$141</definedName>
    <definedName name="Z_42584DC0_1D41_4C93_9B38_C388E7B8DAC4_.wvu.Rows" localSheetId="10" hidden="1">Сят!$141:$141</definedName>
    <definedName name="Z_42584DC0_1D41_4C93_9B38_C388E7B8DAC4_.wvu.Rows" localSheetId="11" hidden="1">Тор!$141:$141</definedName>
    <definedName name="Z_42584DC0_1D41_4C93_9B38_C388E7B8DAC4_.wvu.Rows" localSheetId="12" hidden="1">Хор!$141:$141</definedName>
    <definedName name="Z_42584DC0_1D41_4C93_9B38_C388E7B8DAC4_.wvu.Rows" localSheetId="13" hidden="1">Чум!$141:$141</definedName>
    <definedName name="Z_42584DC0_1D41_4C93_9B38_C388E7B8DAC4_.wvu.Rows" localSheetId="14" hidden="1">Шать!$141:$141</definedName>
    <definedName name="Z_42584DC0_1D41_4C93_9B38_C388E7B8DAC4_.wvu.Rows" localSheetId="15" hidden="1">Юнг!$141:$141</definedName>
    <definedName name="Z_42584DC0_1D41_4C93_9B38_C388E7B8DAC4_.wvu.Rows" localSheetId="16" hidden="1">Юсь!$141:$141</definedName>
    <definedName name="Z_42584DC0_1D41_4C93_9B38_C388E7B8DAC4_.wvu.Rows" localSheetId="17" hidden="1">Яра!$141:$141</definedName>
    <definedName name="Z_42584DC0_1D41_4C93_9B38_C388E7B8DAC4_.wvu.Rows" localSheetId="18" hidden="1">Яро!$19:$24,Яро!$29:$30,Яро!$32:$32,Яро!$43:$43,Яро!$45:$47,Яро!$54:$54,Яро!$56:$57,Яро!$64:$65,Яро!$74:$75,Яро!$79:$83,Яро!$86:$93</definedName>
    <definedName name="Z_5BFCA170_DEAE_4D2C_98A0_1E68B427AC01_.wvu.Cols" localSheetId="1" hidden="1">Справка!$AV:$AX,Справка!$BB:$BD,Справка!$BH:$BP,Справка!$BT:$BY,Справка!$CX:$DF</definedName>
    <definedName name="Z_5BFCA170_DEAE_4D2C_98A0_1E68B427AC01_.wvu.PrintArea" localSheetId="5" hidden="1">Иль!$A$1:$F$102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Тор!$A$1:$F$100</definedName>
    <definedName name="Z_5BFCA170_DEAE_4D2C_98A0_1E68B427AC01_.wvu.PrintArea" localSheetId="15" hidden="1">Юнг!$A$1:$F$99</definedName>
    <definedName name="Z_5BFCA170_DEAE_4D2C_98A0_1E68B427AC01_.wvu.PrintArea" localSheetId="17" hidden="1">Яра!$A$1:$F$100</definedName>
    <definedName name="Z_5BFCA170_DEAE_4D2C_98A0_1E68B427AC01_.wvu.Rows" localSheetId="3" hidden="1">Але!$19:$24,Але!$44:$44,Але!$46:$46,Але!$53:$53,Але!$55:$56,Але!$63:$64,Але!$73:$74,Але!$78:$82,Але!$85:$92</definedName>
    <definedName name="Z_5BFCA170_DEAE_4D2C_98A0_1E68B427AC01_.wvu.Rows" localSheetId="5" hidden="1">Иль!$19:$24,Иль!$30:$31,Иль!$33:$33,Иль!$45:$45,Иль!$50:$50,Иль!$59:$60,Иль!$67:$68,Иль!$76:$77,Иль!$79:$79,Иль!$84:$88,Иль!$91:$95</definedName>
    <definedName name="Z_5BFCA170_DEAE_4D2C_98A0_1E68B427AC01_.wvu.Rows" localSheetId="6" hidden="1">Кад!$19:$24,Кад!$44:$44,Кад!$46:$49,Кад!$56:$56,Кад!$58:$59,Кад!$66:$67,Кад!$88:$95</definedName>
    <definedName name="Z_5BFCA170_DEAE_4D2C_98A0_1E68B427AC01_.wvu.Rows" localSheetId="0" hidden="1">Консол!$22:$22,Консол!$43:$45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Мос!$19:$24,Мос!$44:$44,Мос!$47:$49,Мос!$57:$57,Мос!$59:$60,Мос!$67:$68,Мос!$80:$80,Мос!$83:$88,Мос!$93:$98</definedName>
    <definedName name="Z_5BFCA170_DEAE_4D2C_98A0_1E68B427AC01_.wvu.Rows" localSheetId="9" hidden="1">Ори!$19:$24,Ори!$32:$32,Ори!$44:$44,Ори!$48:$50,Ори!$57:$57,Ори!$59:$60,Ори!$67:$68,Ори!$77:$78,Ори!$80:$80,Ори!$84:$86,Ори!$90:$97</definedName>
    <definedName name="Z_5BFCA170_DEAE_4D2C_98A0_1E68B427AC01_.wvu.Rows" localSheetId="2" hidden="1">район!$17:$18,район!$20:$20,район!$28:$30,район!$49:$50,район!$74:$74,район!$81:$81,район!$98:$98,район!$103:$103,район!$130:$132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Сун!$19:$24,Сун!$49:$51,Сун!$58:$58,Сун!$60:$61,Сун!$68:$69,Сун!$78:$79,Сун!$81:$81,Сун!$84:$89,Сун!$92:$96</definedName>
    <definedName name="Z_5BFCA170_DEAE_4D2C_98A0_1E68B427AC01_.wvu.Rows" localSheetId="10" hidden="1">Сят!$19:$19,Сят!$45:$47,Сят!$56:$56,Сят!$58:$59,Сят!$66:$67,Сят!$82:$84,Сят!$88:$95</definedName>
    <definedName name="Z_5BFCA170_DEAE_4D2C_98A0_1E68B427AC01_.wvu.Rows" localSheetId="11" hidden="1">Тор!$19:$19,Тор!$49:$49,Тор!$56:$56,Тор!$58:$59,Тор!$66:$67,Тор!$73:$73,Тор!$77:$78,Тор!$82:$92</definedName>
    <definedName name="Z_5BFCA170_DEAE_4D2C_98A0_1E68B427AC01_.wvu.Rows" localSheetId="12" hidden="1">Хор!$19:$24,Хор!$32:$32,Хор!$40:$40,Хор!$44:$48,Хор!$55:$55,Хор!$57:$58,Хор!$65:$66,Хор!$80:$84,Хор!$87:$94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Юнг!$19:$24,Юнг!$32:$32,Юнг!$46:$46,Юнг!$49:$49,Юнг!$56:$56,Юнг!$58:$59,Юнг!$66:$67,Юнг!$81:$85,Юнг!$88:$95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Юсь!$20:$24,Юсь!$40:$40,Юсь!$44:$49,Юсь!$58:$58,Юсь!$60:$61,Юсь!$68:$69,Юсь!$78:$79,Юсь!$83:$87,Юсь!$90:$97</definedName>
    <definedName name="Z_5BFCA170_DEAE_4D2C_98A0_1E68B427AC01_.wvu.Rows" localSheetId="17" hidden="1">Яра!$19:$24,Яра!$45:$49,Яра!$57:$57,Яра!$59:$60,Яра!$67:$68,Яра!$77:$77,Яра!$82:$86,Яра!$89:$96</definedName>
    <definedName name="Z_5BFCA170_DEAE_4D2C_98A0_1E68B427AC01_.wvu.Rows" localSheetId="18" hidden="1">Яро!$19:$24,Яро!$29:$30,Яро!$32:$32,Яро!$43:$43,Яро!$54:$54,Яро!$56:$57,Яро!$64:$65,Яро!$74:$75,Яро!$79:$83,Яро!$86:$93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Иль!$A$1:$F$102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Тор!$A$1:$F$100</definedName>
    <definedName name="Z_A54C432C_6C68_4B53_A75C_446EB3A61B2B_.wvu.PrintArea" localSheetId="15" hidden="1">Юнг!$A$1:$F$99</definedName>
    <definedName name="Z_A54C432C_6C68_4B53_A75C_446EB3A61B2B_.wvu.PrintArea" localSheetId="17" hidden="1">Яра!$A$1:$F$100</definedName>
    <definedName name="Z_A54C432C_6C68_4B53_A75C_446EB3A61B2B_.wvu.Rows" localSheetId="3" hidden="1">Але!$141:$141</definedName>
    <definedName name="Z_A54C432C_6C68_4B53_A75C_446EB3A61B2B_.wvu.Rows" localSheetId="5" hidden="1">Иль!$141:$141</definedName>
    <definedName name="Z_A54C432C_6C68_4B53_A75C_446EB3A61B2B_.wvu.Rows" localSheetId="6" hidden="1">Кад!$141:$141</definedName>
    <definedName name="Z_A54C432C_6C68_4B53_A75C_446EB3A61B2B_.wvu.Rows" localSheetId="0" hidden="1">Консол!$22:$22,Консол!$43:$45</definedName>
    <definedName name="Z_A54C432C_6C68_4B53_A75C_446EB3A61B2B_.wvu.Rows" localSheetId="7" hidden="1">Мор!$141:$141</definedName>
    <definedName name="Z_A54C432C_6C68_4B53_A75C_446EB3A61B2B_.wvu.Rows" localSheetId="8" hidden="1">Мос!$141:$141</definedName>
    <definedName name="Z_A54C432C_6C68_4B53_A75C_446EB3A61B2B_.wvu.Rows" localSheetId="9" hidden="1">Ори!$141:$141</definedName>
    <definedName name="Z_A54C432C_6C68_4B53_A75C_446EB3A61B2B_.wvu.Rows" localSheetId="2" hidden="1">район!$17:$18,район!$20:$20,район!$28:$30,район!$49:$50,район!$74:$74,район!$81:$81,район!$98:$98,район!$103:$103,район!$130:$132,район!$135:$136</definedName>
    <definedName name="Z_A54C432C_6C68_4B53_A75C_446EB3A61B2B_.wvu.Rows" localSheetId="1" hidden="1">Справка!$33:$33</definedName>
    <definedName name="Z_A54C432C_6C68_4B53_A75C_446EB3A61B2B_.wvu.Rows" localSheetId="4" hidden="1">Сун!$141:$141</definedName>
    <definedName name="Z_A54C432C_6C68_4B53_A75C_446EB3A61B2B_.wvu.Rows" localSheetId="10" hidden="1">Сят!$141:$141</definedName>
    <definedName name="Z_A54C432C_6C68_4B53_A75C_446EB3A61B2B_.wvu.Rows" localSheetId="11" hidden="1">Тор!$141:$141</definedName>
    <definedName name="Z_A54C432C_6C68_4B53_A75C_446EB3A61B2B_.wvu.Rows" localSheetId="12" hidden="1">Хор!$141:$141</definedName>
    <definedName name="Z_A54C432C_6C68_4B53_A75C_446EB3A61B2B_.wvu.Rows" localSheetId="13" hidden="1">Чум!$141:$141</definedName>
    <definedName name="Z_A54C432C_6C68_4B53_A75C_446EB3A61B2B_.wvu.Rows" localSheetId="14" hidden="1">Шать!$141:$141</definedName>
    <definedName name="Z_A54C432C_6C68_4B53_A75C_446EB3A61B2B_.wvu.Rows" localSheetId="15" hidden="1">Юнг!$141:$141</definedName>
    <definedName name="Z_A54C432C_6C68_4B53_A75C_446EB3A61B2B_.wvu.Rows" localSheetId="16" hidden="1">Юсь!$141:$141</definedName>
    <definedName name="Z_A54C432C_6C68_4B53_A75C_446EB3A61B2B_.wvu.Rows" localSheetId="17" hidden="1">Яра!$141:$141</definedName>
    <definedName name="Z_A54C432C_6C68_4B53_A75C_446EB3A61B2B_.wvu.Rows" localSheetId="18" hidden="1">Яро!$19:$24,Яро!$29:$30,Яро!$32:$32,Яро!$43:$44,Яро!$46:$47,Яро!$54:$54,Яро!$56:$57,Яро!$64:$65,Яро!$74:$75,Яро!$79:$83,Яро!$86:$93</definedName>
    <definedName name="_xlnm.Print_Area" localSheetId="5">Иль!$A$1:$F$102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Тор!$A$1:$F$100</definedName>
    <definedName name="_xlnm.Print_Area" localSheetId="15">Юнг!$A$1:$F$99</definedName>
    <definedName name="_xlnm.Print_Area" localSheetId="17">Яра!$A$1:$F$100</definedName>
  </definedNames>
  <calcPr calcId="125725"/>
  <customWorkbookViews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4"/>
    <customWorkbookView name="morgau_fin7 - Личное представление" guid="{5BFCA170-DEAE-4D2C-98A0-1E68B427AC01}" mergeInterval="0" personalView="1" maximized="1" xWindow="1" yWindow="1" windowWidth="1916" windowHeight="850" tabRatio="695" activeSheetId="16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6"/>
  </customWorkbookViews>
</workbook>
</file>

<file path=xl/calcChain.xml><?xml version="1.0" encoding="utf-8"?>
<calcChain xmlns="http://schemas.openxmlformats.org/spreadsheetml/2006/main">
  <c r="CS29" i="2"/>
  <c r="CR29"/>
  <c r="CS27"/>
  <c r="CS25"/>
  <c r="CS24"/>
  <c r="CS22"/>
  <c r="CS21"/>
  <c r="D41" i="15"/>
  <c r="D37" i="14"/>
  <c r="BR24" i="2" s="1"/>
  <c r="D41" i="14"/>
  <c r="D38" i="17"/>
  <c r="CR23" i="2"/>
  <c r="C38" i="13"/>
  <c r="D41" i="12"/>
  <c r="E9"/>
  <c r="C40" i="10" l="1"/>
  <c r="D16" i="8"/>
  <c r="D13"/>
  <c r="D6"/>
  <c r="D13" i="7"/>
  <c r="D6"/>
  <c r="D66" i="6"/>
  <c r="D16"/>
  <c r="D15"/>
  <c r="D33" i="5"/>
  <c r="F33"/>
  <c r="D15"/>
  <c r="D16" i="4"/>
  <c r="AE14" i="2"/>
  <c r="CR14"/>
  <c r="C33" i="3"/>
  <c r="F15" i="1" s="1"/>
  <c r="CR27" i="2"/>
  <c r="CT27" s="1"/>
  <c r="CR25"/>
  <c r="CR24"/>
  <c r="CR21"/>
  <c r="CR19"/>
  <c r="CR18"/>
  <c r="CS15"/>
  <c r="CR15"/>
  <c r="F79" i="13"/>
  <c r="C78" i="19"/>
  <c r="C76"/>
  <c r="C69"/>
  <c r="C39"/>
  <c r="C88" i="18"/>
  <c r="C75"/>
  <c r="C80" i="17"/>
  <c r="C75"/>
  <c r="C73"/>
  <c r="C38"/>
  <c r="E51"/>
  <c r="F51"/>
  <c r="C39"/>
  <c r="C71" i="16"/>
  <c r="C78"/>
  <c r="C73"/>
  <c r="C40"/>
  <c r="C41"/>
  <c r="C81" i="15"/>
  <c r="C79"/>
  <c r="C73"/>
  <c r="C72"/>
  <c r="E50"/>
  <c r="F50"/>
  <c r="C75" i="14"/>
  <c r="C74"/>
  <c r="C73"/>
  <c r="C72"/>
  <c r="C41"/>
  <c r="E50"/>
  <c r="F50"/>
  <c r="C77" i="13"/>
  <c r="C70"/>
  <c r="C79" i="12"/>
  <c r="C74"/>
  <c r="E74"/>
  <c r="C71"/>
  <c r="E71" s="1"/>
  <c r="E31"/>
  <c r="F31"/>
  <c r="D29"/>
  <c r="C80" i="11"/>
  <c r="C73"/>
  <c r="C72"/>
  <c r="C71"/>
  <c r="D40"/>
  <c r="C40"/>
  <c r="E49"/>
  <c r="F49"/>
  <c r="C72" i="10"/>
  <c r="C41"/>
  <c r="C79" i="9"/>
  <c r="E79" s="1"/>
  <c r="C74"/>
  <c r="C73"/>
  <c r="C72"/>
  <c r="D40"/>
  <c r="C40"/>
  <c r="E50"/>
  <c r="F50"/>
  <c r="C79" i="8"/>
  <c r="C74"/>
  <c r="C73"/>
  <c r="C72"/>
  <c r="E47"/>
  <c r="F47"/>
  <c r="E48"/>
  <c r="F48"/>
  <c r="E49"/>
  <c r="F49"/>
  <c r="E50"/>
  <c r="F50"/>
  <c r="C40"/>
  <c r="C41" i="7"/>
  <c r="C80"/>
  <c r="C78"/>
  <c r="D73"/>
  <c r="C73"/>
  <c r="C72"/>
  <c r="C71"/>
  <c r="C70" s="1"/>
  <c r="E28" i="3"/>
  <c r="E29"/>
  <c r="E30"/>
  <c r="E31"/>
  <c r="C74" i="6"/>
  <c r="C72"/>
  <c r="C65"/>
  <c r="C63"/>
  <c r="F80" i="5"/>
  <c r="C75"/>
  <c r="F75" s="1"/>
  <c r="C73"/>
  <c r="C26"/>
  <c r="D41"/>
  <c r="E48"/>
  <c r="F48"/>
  <c r="C42"/>
  <c r="C41"/>
  <c r="C39" i="4"/>
  <c r="E48" i="12"/>
  <c r="F48"/>
  <c r="E66" i="3"/>
  <c r="E61"/>
  <c r="E56"/>
  <c r="E38"/>
  <c r="D72"/>
  <c r="E79"/>
  <c r="C72"/>
  <c r="C42" i="15"/>
  <c r="C41" s="1"/>
  <c r="E42"/>
  <c r="C39" i="13"/>
  <c r="C42" i="12"/>
  <c r="C41"/>
  <c r="F41" i="10"/>
  <c r="C42" i="6"/>
  <c r="C41" s="1"/>
  <c r="E44" i="10"/>
  <c r="F44"/>
  <c r="E44" i="9"/>
  <c r="F44"/>
  <c r="E44" i="8"/>
  <c r="F44"/>
  <c r="C40" i="7"/>
  <c r="E44"/>
  <c r="F44"/>
  <c r="E45" i="6"/>
  <c r="F45"/>
  <c r="E46"/>
  <c r="F46"/>
  <c r="E45" i="5"/>
  <c r="F45"/>
  <c r="CR22" i="2"/>
  <c r="CV14"/>
  <c r="C57" i="7"/>
  <c r="C55"/>
  <c r="D107" i="3"/>
  <c r="C107"/>
  <c r="E109"/>
  <c r="E110"/>
  <c r="E101"/>
  <c r="E90"/>
  <c r="E73"/>
  <c r="E74"/>
  <c r="E69"/>
  <c r="E70"/>
  <c r="E59"/>
  <c r="D51"/>
  <c r="E34"/>
  <c r="E35"/>
  <c r="E25"/>
  <c r="C67" i="17"/>
  <c r="D20" i="14"/>
  <c r="E73" i="11"/>
  <c r="E34" i="10"/>
  <c r="F34"/>
  <c r="E35"/>
  <c r="F35"/>
  <c r="D80" i="8"/>
  <c r="C76"/>
  <c r="C71"/>
  <c r="E35" i="11"/>
  <c r="F35"/>
  <c r="E34"/>
  <c r="F34"/>
  <c r="E33"/>
  <c r="C7" i="8"/>
  <c r="C83" i="6"/>
  <c r="D7" i="5"/>
  <c r="C52" i="4"/>
  <c r="D38"/>
  <c r="D12"/>
  <c r="C67"/>
  <c r="BP23" i="2"/>
  <c r="BO21"/>
  <c r="D95" i="12"/>
  <c r="ER22" i="2" s="1"/>
  <c r="D26" i="6"/>
  <c r="D40" i="16"/>
  <c r="F35"/>
  <c r="E35"/>
  <c r="D34"/>
  <c r="D12" i="13"/>
  <c r="D5"/>
  <c r="D38"/>
  <c r="D78"/>
  <c r="EL23" i="2" s="1"/>
  <c r="D74" i="13"/>
  <c r="D62"/>
  <c r="D69"/>
  <c r="D54"/>
  <c r="D26"/>
  <c r="E81" i="3"/>
  <c r="AQ27" i="2"/>
  <c r="AQ25"/>
  <c r="AQ18"/>
  <c r="AQ19"/>
  <c r="AR19" s="1"/>
  <c r="AQ17"/>
  <c r="AT28"/>
  <c r="AT29"/>
  <c r="BU35"/>
  <c r="E87" i="16"/>
  <c r="C80" i="14"/>
  <c r="AK24" i="2"/>
  <c r="E15" i="14"/>
  <c r="C74" i="13"/>
  <c r="E42" i="10"/>
  <c r="F42"/>
  <c r="BO19" i="2"/>
  <c r="BP19" s="1"/>
  <c r="F74" i="9"/>
  <c r="F35"/>
  <c r="E35"/>
  <c r="D34"/>
  <c r="C34"/>
  <c r="AZ15" i="2"/>
  <c r="AZ17"/>
  <c r="AZ19"/>
  <c r="AZ20"/>
  <c r="AZ21"/>
  <c r="AZ24"/>
  <c r="AZ26"/>
  <c r="AZ27"/>
  <c r="AZ28"/>
  <c r="D122" i="3"/>
  <c r="D68"/>
  <c r="G21" i="1" s="1"/>
  <c r="F66" i="3"/>
  <c r="E35" i="18"/>
  <c r="F35"/>
  <c r="E48" i="16"/>
  <c r="F48"/>
  <c r="E46"/>
  <c r="E47"/>
  <c r="E42"/>
  <c r="F42"/>
  <c r="C34" i="15"/>
  <c r="BN25" i="2" s="1"/>
  <c r="E36" i="15"/>
  <c r="F36"/>
  <c r="D34"/>
  <c r="E70" i="14"/>
  <c r="D34"/>
  <c r="BO24" i="2" s="1"/>
  <c r="C34" i="14"/>
  <c r="E36" i="12"/>
  <c r="F36"/>
  <c r="C35"/>
  <c r="E42" i="11"/>
  <c r="F42"/>
  <c r="E42" i="8"/>
  <c r="F42"/>
  <c r="E85" i="7"/>
  <c r="D36"/>
  <c r="E42"/>
  <c r="F42"/>
  <c r="E35"/>
  <c r="F35"/>
  <c r="E57" i="6"/>
  <c r="F57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AZ22"/>
  <c r="D17" i="12"/>
  <c r="D5" i="8"/>
  <c r="D5" i="6"/>
  <c r="E40" i="9"/>
  <c r="D55" i="12"/>
  <c r="D35"/>
  <c r="CS26" i="2"/>
  <c r="CR26"/>
  <c r="CS28"/>
  <c r="CR28"/>
  <c r="D80" i="18"/>
  <c r="D76"/>
  <c r="EI28" i="2" s="1"/>
  <c r="D40" i="18"/>
  <c r="C40"/>
  <c r="E50"/>
  <c r="F50"/>
  <c r="D34" i="7"/>
  <c r="BO17" i="2" s="1"/>
  <c r="BP17" s="1"/>
  <c r="C34" i="7"/>
  <c r="D33" i="3"/>
  <c r="G15" i="1" s="1"/>
  <c r="D61" i="19"/>
  <c r="D38"/>
  <c r="D34" i="18"/>
  <c r="BO28" i="2" s="1"/>
  <c r="BO20"/>
  <c r="BP20" s="1"/>
  <c r="D87" i="14"/>
  <c r="D36" i="8"/>
  <c r="E27" i="19"/>
  <c r="E56" i="16"/>
  <c r="E57"/>
  <c r="E58"/>
  <c r="E59"/>
  <c r="AQ29" i="2"/>
  <c r="AQ14"/>
  <c r="CL18"/>
  <c r="AS17"/>
  <c r="AA24"/>
  <c r="D113" i="3"/>
  <c r="F116"/>
  <c r="E116"/>
  <c r="D66" i="8"/>
  <c r="C66"/>
  <c r="C14" i="14"/>
  <c r="F35" i="15"/>
  <c r="E35"/>
  <c r="BO25" i="2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CP14"/>
  <c r="BE14"/>
  <c r="AY28"/>
  <c r="AY27"/>
  <c r="AY24"/>
  <c r="AY21"/>
  <c r="AY20"/>
  <c r="AY19"/>
  <c r="BA19" s="1"/>
  <c r="AY17"/>
  <c r="AY15"/>
  <c r="AY26"/>
  <c r="BA26" s="1"/>
  <c r="AS24"/>
  <c r="AQ26"/>
  <c r="AQ24"/>
  <c r="AQ22"/>
  <c r="AQ16"/>
  <c r="AQ15"/>
  <c r="D26" i="18"/>
  <c r="D87" i="15"/>
  <c r="D20" i="12"/>
  <c r="C20"/>
  <c r="D40" i="8"/>
  <c r="D26" i="5"/>
  <c r="E26" s="1"/>
  <c r="C31" i="4"/>
  <c r="AP27" i="2"/>
  <c r="BR25"/>
  <c r="AZ14"/>
  <c r="CO28"/>
  <c r="CO26"/>
  <c r="CC26"/>
  <c r="CO24"/>
  <c r="CO23"/>
  <c r="CO22"/>
  <c r="CO16"/>
  <c r="D26" i="19"/>
  <c r="D53"/>
  <c r="D68"/>
  <c r="EF29" i="2" s="1"/>
  <c r="F38" i="17"/>
  <c r="D65" i="16"/>
  <c r="D63"/>
  <c r="D55"/>
  <c r="D75"/>
  <c r="D70"/>
  <c r="EF26" i="2" s="1"/>
  <c r="D66" i="15"/>
  <c r="D7" i="7"/>
  <c r="D40"/>
  <c r="E40" s="1"/>
  <c r="D26"/>
  <c r="D17" i="5"/>
  <c r="D67" i="4"/>
  <c r="DQ20" i="2"/>
  <c r="DQ17"/>
  <c r="D5" i="15"/>
  <c r="D5" i="9"/>
  <c r="C34" i="18"/>
  <c r="F34" s="1"/>
  <c r="C34" i="8"/>
  <c r="AP18" i="2"/>
  <c r="AT19"/>
  <c r="AS18"/>
  <c r="E40" i="3"/>
  <c r="F40"/>
  <c r="C51"/>
  <c r="F20" i="1" s="1"/>
  <c r="D63" i="12"/>
  <c r="DZ22" i="2" s="1"/>
  <c r="AQ21"/>
  <c r="D65" i="17"/>
  <c r="D56" i="15"/>
  <c r="D37" i="12"/>
  <c r="E15" i="5"/>
  <c r="E16"/>
  <c r="D60" i="4"/>
  <c r="G9" i="1"/>
  <c r="BE22" i="2"/>
  <c r="D31" i="7"/>
  <c r="J14" i="2"/>
  <c r="J15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J18"/>
  <c r="BK18"/>
  <c r="BL18"/>
  <c r="BM18"/>
  <c r="D66" i="14"/>
  <c r="D5"/>
  <c r="EY30" i="2"/>
  <c r="D64" i="18"/>
  <c r="D12" i="5"/>
  <c r="E47"/>
  <c r="F47"/>
  <c r="G24" i="1"/>
  <c r="C72" i="5"/>
  <c r="I14" i="2"/>
  <c r="AP26"/>
  <c r="AP25"/>
  <c r="AR25" s="1"/>
  <c r="AP24"/>
  <c r="AP22"/>
  <c r="AP17"/>
  <c r="AP14"/>
  <c r="AR14" s="1"/>
  <c r="AS26"/>
  <c r="AS22"/>
  <c r="AS21"/>
  <c r="D21" i="3"/>
  <c r="D5"/>
  <c r="D127"/>
  <c r="C95" i="12"/>
  <c r="EQ22" i="2" s="1"/>
  <c r="D7" i="16"/>
  <c r="E42" i="9"/>
  <c r="F42"/>
  <c r="D83" i="4"/>
  <c r="C83"/>
  <c r="D76"/>
  <c r="C76"/>
  <c r="D72"/>
  <c r="C72"/>
  <c r="D62"/>
  <c r="C62"/>
  <c r="C60"/>
  <c r="D52"/>
  <c r="D36" i="16"/>
  <c r="D137" i="3"/>
  <c r="D16"/>
  <c r="D17" i="19"/>
  <c r="D32" i="5"/>
  <c r="D65" i="11"/>
  <c r="D63"/>
  <c r="D55"/>
  <c r="DK21" i="2" s="1"/>
  <c r="D86" i="7"/>
  <c r="ER17" i="2" s="1"/>
  <c r="D81" i="7"/>
  <c r="D79"/>
  <c r="D75"/>
  <c r="D70"/>
  <c r="D65"/>
  <c r="D63"/>
  <c r="D55"/>
  <c r="D64" i="10"/>
  <c r="AS28" i="2"/>
  <c r="AU28" s="1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R17" s="1"/>
  <c r="D87" i="3"/>
  <c r="C137"/>
  <c r="F137" s="1"/>
  <c r="D26" i="16"/>
  <c r="D7" i="4"/>
  <c r="D66" i="9"/>
  <c r="D56"/>
  <c r="AD23" i="2"/>
  <c r="I23"/>
  <c r="K23" s="1"/>
  <c r="L23"/>
  <c r="I24"/>
  <c r="AD24"/>
  <c r="AQ28"/>
  <c r="AR28" s="1"/>
  <c r="AQ23"/>
  <c r="AR23" s="1"/>
  <c r="AQ20"/>
  <c r="AP21"/>
  <c r="AP15"/>
  <c r="C31" i="19"/>
  <c r="E43" i="14"/>
  <c r="F43"/>
  <c r="C26" i="6"/>
  <c r="D40" i="10"/>
  <c r="C65" i="5"/>
  <c r="DE23" i="2"/>
  <c r="DE31" s="1"/>
  <c r="D77" i="17"/>
  <c r="D76" i="12"/>
  <c r="D71" i="9"/>
  <c r="E54" i="3"/>
  <c r="D23"/>
  <c r="BU33" i="2"/>
  <c r="DF33"/>
  <c r="D46" i="3"/>
  <c r="G18" i="1" s="1"/>
  <c r="D41" i="3"/>
  <c r="C88" i="17"/>
  <c r="DP14" i="2"/>
  <c r="D26" i="17"/>
  <c r="D31" i="18"/>
  <c r="D14" i="4"/>
  <c r="C78" i="13"/>
  <c r="EK23" i="2" s="1"/>
  <c r="C26" i="11"/>
  <c r="C26" i="8"/>
  <c r="C32" i="6"/>
  <c r="D66" i="18"/>
  <c r="C64" i="15"/>
  <c r="C80" i="8"/>
  <c r="E82"/>
  <c r="F82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E7" s="1"/>
  <c r="C31" i="13"/>
  <c r="D80" i="12"/>
  <c r="EL22" i="2" s="1"/>
  <c r="C80" i="12"/>
  <c r="D94" i="8"/>
  <c r="D64" i="6"/>
  <c r="D65" i="5"/>
  <c r="D102" i="3"/>
  <c r="CO19" i="2"/>
  <c r="CO27"/>
  <c r="D79" i="1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3" i="12"/>
  <c r="F73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C127" i="3"/>
  <c r="F38" i="1" s="1"/>
  <c r="C122" i="3"/>
  <c r="D119"/>
  <c r="C119"/>
  <c r="C130"/>
  <c r="E130" s="1"/>
  <c r="C113"/>
  <c r="D111"/>
  <c r="C102"/>
  <c r="F32" i="1" s="1"/>
  <c r="D95" i="3"/>
  <c r="D97"/>
  <c r="C97"/>
  <c r="C87"/>
  <c r="C7"/>
  <c r="D12" i="6"/>
  <c r="C89" i="9"/>
  <c r="EN19" i="2" s="1"/>
  <c r="D67" i="17"/>
  <c r="E67" s="1"/>
  <c r="F76" i="11"/>
  <c r="F77"/>
  <c r="E76"/>
  <c r="E77"/>
  <c r="D89" i="9"/>
  <c r="EO19" i="2" s="1"/>
  <c r="F85" i="9"/>
  <c r="F86"/>
  <c r="F87"/>
  <c r="F88"/>
  <c r="F90"/>
  <c r="E85"/>
  <c r="E86"/>
  <c r="E87"/>
  <c r="E88"/>
  <c r="E90"/>
  <c r="D67" i="5"/>
  <c r="D7" i="3"/>
  <c r="E7" s="1"/>
  <c r="D5" i="19"/>
  <c r="D7"/>
  <c r="D14"/>
  <c r="C5"/>
  <c r="E6"/>
  <c r="F6"/>
  <c r="E8"/>
  <c r="F8"/>
  <c r="E9"/>
  <c r="F9"/>
  <c r="E10"/>
  <c r="F10"/>
  <c r="E11"/>
  <c r="F11"/>
  <c r="C12"/>
  <c r="D12"/>
  <c r="F12" s="1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31"/>
  <c r="E31" s="1"/>
  <c r="C26"/>
  <c r="F27"/>
  <c r="E28"/>
  <c r="F28"/>
  <c r="C29"/>
  <c r="D29"/>
  <c r="E30"/>
  <c r="F30"/>
  <c r="E32"/>
  <c r="F32"/>
  <c r="E33"/>
  <c r="F33"/>
  <c r="C34"/>
  <c r="D34"/>
  <c r="E35"/>
  <c r="F35"/>
  <c r="E36"/>
  <c r="F36"/>
  <c r="E39"/>
  <c r="E40"/>
  <c r="F40"/>
  <c r="E41"/>
  <c r="F41"/>
  <c r="E42"/>
  <c r="F42"/>
  <c r="E43"/>
  <c r="F43"/>
  <c r="E44"/>
  <c r="CQ29" i="2" s="1"/>
  <c r="F44" i="19"/>
  <c r="E45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64"/>
  <c r="F64"/>
  <c r="E65"/>
  <c r="F65"/>
  <c r="E66"/>
  <c r="F66"/>
  <c r="E67"/>
  <c r="F67"/>
  <c r="E69"/>
  <c r="F69"/>
  <c r="E70"/>
  <c r="F70"/>
  <c r="E72"/>
  <c r="F72"/>
  <c r="D73"/>
  <c r="E74"/>
  <c r="F74"/>
  <c r="E75"/>
  <c r="F75"/>
  <c r="E76"/>
  <c r="C77"/>
  <c r="D77"/>
  <c r="E78"/>
  <c r="F78"/>
  <c r="C79"/>
  <c r="D79"/>
  <c r="E80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91"/>
  <c r="F91"/>
  <c r="E92"/>
  <c r="F92"/>
  <c r="E93"/>
  <c r="F93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6"/>
  <c r="D36"/>
  <c r="E37"/>
  <c r="F37"/>
  <c r="E38"/>
  <c r="F38"/>
  <c r="E41"/>
  <c r="F41"/>
  <c r="E42"/>
  <c r="F42"/>
  <c r="E43"/>
  <c r="F43"/>
  <c r="E44"/>
  <c r="F44"/>
  <c r="E45"/>
  <c r="F45"/>
  <c r="E46"/>
  <c r="F46"/>
  <c r="E47"/>
  <c r="F47"/>
  <c r="F48"/>
  <c r="E49"/>
  <c r="F49"/>
  <c r="D56"/>
  <c r="E58"/>
  <c r="F58"/>
  <c r="F59"/>
  <c r="E60"/>
  <c r="F60"/>
  <c r="E61"/>
  <c r="F61"/>
  <c r="E62"/>
  <c r="F62"/>
  <c r="C64"/>
  <c r="E64" s="1"/>
  <c r="E65"/>
  <c r="F65"/>
  <c r="C66"/>
  <c r="E67"/>
  <c r="F67"/>
  <c r="E68"/>
  <c r="F68"/>
  <c r="E69"/>
  <c r="F69"/>
  <c r="E70"/>
  <c r="F70"/>
  <c r="D71"/>
  <c r="E73"/>
  <c r="F73"/>
  <c r="E74"/>
  <c r="F74"/>
  <c r="C76"/>
  <c r="E77"/>
  <c r="F77"/>
  <c r="E78"/>
  <c r="F78"/>
  <c r="E79"/>
  <c r="F79"/>
  <c r="C80"/>
  <c r="E81"/>
  <c r="F81"/>
  <c r="C82"/>
  <c r="EN28" i="2" s="1"/>
  <c r="D82" i="18"/>
  <c r="E83"/>
  <c r="F83"/>
  <c r="E84"/>
  <c r="F84"/>
  <c r="E85"/>
  <c r="F85"/>
  <c r="F86"/>
  <c r="C87"/>
  <c r="D87"/>
  <c r="E88"/>
  <c r="F88"/>
  <c r="E89"/>
  <c r="F89"/>
  <c r="E90"/>
  <c r="E91"/>
  <c r="E92"/>
  <c r="C93"/>
  <c r="D93"/>
  <c r="E94"/>
  <c r="F94"/>
  <c r="E95"/>
  <c r="F95"/>
  <c r="E96"/>
  <c r="F96"/>
  <c r="D5" i="17"/>
  <c r="D7"/>
  <c r="F7" s="1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D34"/>
  <c r="F34" s="1"/>
  <c r="E35"/>
  <c r="F35"/>
  <c r="E36"/>
  <c r="F36"/>
  <c r="F39"/>
  <c r="E42"/>
  <c r="F42"/>
  <c r="E43"/>
  <c r="F43"/>
  <c r="C46"/>
  <c r="D46"/>
  <c r="F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78"/>
  <c r="F78"/>
  <c r="E79"/>
  <c r="F79"/>
  <c r="E80"/>
  <c r="F80"/>
  <c r="D81"/>
  <c r="C83"/>
  <c r="D83"/>
  <c r="E84"/>
  <c r="F84"/>
  <c r="E85"/>
  <c r="F85"/>
  <c r="E86"/>
  <c r="F86"/>
  <c r="F87"/>
  <c r="D88"/>
  <c r="F89"/>
  <c r="E90"/>
  <c r="F90"/>
  <c r="E91"/>
  <c r="E92"/>
  <c r="E93"/>
  <c r="C94"/>
  <c r="D94"/>
  <c r="E95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E32"/>
  <c r="F32"/>
  <c r="E33"/>
  <c r="F33"/>
  <c r="C37"/>
  <c r="E38"/>
  <c r="F38"/>
  <c r="E41"/>
  <c r="F41"/>
  <c r="E43"/>
  <c r="F43"/>
  <c r="E44"/>
  <c r="F44"/>
  <c r="E45"/>
  <c r="F45"/>
  <c r="F46"/>
  <c r="F47"/>
  <c r="E49"/>
  <c r="F49"/>
  <c r="C55"/>
  <c r="F55" s="1"/>
  <c r="F57"/>
  <c r="F58"/>
  <c r="F59"/>
  <c r="E60"/>
  <c r="F60"/>
  <c r="E61"/>
  <c r="F61"/>
  <c r="E62"/>
  <c r="F62"/>
  <c r="C63"/>
  <c r="F63" s="1"/>
  <c r="E64"/>
  <c r="F64"/>
  <c r="C65"/>
  <c r="E65" s="1"/>
  <c r="E66"/>
  <c r="F66"/>
  <c r="E67"/>
  <c r="F67"/>
  <c r="E68"/>
  <c r="F68"/>
  <c r="E69"/>
  <c r="F69"/>
  <c r="E72"/>
  <c r="F72"/>
  <c r="E73"/>
  <c r="F73"/>
  <c r="E74"/>
  <c r="F74"/>
  <c r="C75"/>
  <c r="E76"/>
  <c r="F76"/>
  <c r="E77"/>
  <c r="F77"/>
  <c r="E78"/>
  <c r="F78"/>
  <c r="C79"/>
  <c r="D79"/>
  <c r="E80"/>
  <c r="F80"/>
  <c r="C81"/>
  <c r="F81" s="1"/>
  <c r="D81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D92"/>
  <c r="E93"/>
  <c r="F93"/>
  <c r="E94"/>
  <c r="F94"/>
  <c r="E95"/>
  <c r="F95"/>
  <c r="D7" i="15"/>
  <c r="F7" s="1"/>
  <c r="D14"/>
  <c r="D17"/>
  <c r="C5"/>
  <c r="F5" s="1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4" s="1"/>
  <c r="E65"/>
  <c r="F65"/>
  <c r="C66"/>
  <c r="E66" s="1"/>
  <c r="E67"/>
  <c r="F67"/>
  <c r="E68"/>
  <c r="F68"/>
  <c r="E69"/>
  <c r="F69"/>
  <c r="E70"/>
  <c r="F70"/>
  <c r="D71"/>
  <c r="E72"/>
  <c r="F72"/>
  <c r="E73"/>
  <c r="F73"/>
  <c r="F74"/>
  <c r="E75"/>
  <c r="F75"/>
  <c r="D76"/>
  <c r="E77"/>
  <c r="F77"/>
  <c r="E78"/>
  <c r="F78"/>
  <c r="C80"/>
  <c r="D80"/>
  <c r="E81"/>
  <c r="F81"/>
  <c r="C82"/>
  <c r="EN25" i="2" s="1"/>
  <c r="D82" i="15"/>
  <c r="E83"/>
  <c r="F83"/>
  <c r="E84"/>
  <c r="F84"/>
  <c r="E85"/>
  <c r="F85"/>
  <c r="F86"/>
  <c r="C87"/>
  <c r="E88"/>
  <c r="F88"/>
  <c r="E89"/>
  <c r="F89"/>
  <c r="E90"/>
  <c r="E91"/>
  <c r="E92"/>
  <c r="C93"/>
  <c r="D93"/>
  <c r="E94"/>
  <c r="F94"/>
  <c r="E95"/>
  <c r="F95"/>
  <c r="E96"/>
  <c r="F96"/>
  <c r="D7" i="14"/>
  <c r="F7" s="1"/>
  <c r="D14"/>
  <c r="D17"/>
  <c r="C5"/>
  <c r="F5" s="1"/>
  <c r="E6"/>
  <c r="F6"/>
  <c r="E8"/>
  <c r="F8"/>
  <c r="E9"/>
  <c r="F9"/>
  <c r="E10"/>
  <c r="F10"/>
  <c r="E11"/>
  <c r="F11"/>
  <c r="C12"/>
  <c r="D12"/>
  <c r="E13"/>
  <c r="F13"/>
  <c r="F15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8"/>
  <c r="E36" s="1"/>
  <c r="F38"/>
  <c r="F36" s="1"/>
  <c r="E39"/>
  <c r="F39"/>
  <c r="F41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67"/>
  <c r="F67"/>
  <c r="E68"/>
  <c r="F68"/>
  <c r="E69"/>
  <c r="F69"/>
  <c r="F70"/>
  <c r="D71"/>
  <c r="E72"/>
  <c r="F72"/>
  <c r="E73"/>
  <c r="F73"/>
  <c r="E74"/>
  <c r="E75"/>
  <c r="F75"/>
  <c r="D76"/>
  <c r="EI24" i="2" s="1"/>
  <c r="E78" i="14"/>
  <c r="F78"/>
  <c r="E79"/>
  <c r="F79"/>
  <c r="D80"/>
  <c r="EL24" i="2" s="1"/>
  <c r="E81" i="14"/>
  <c r="F81"/>
  <c r="C82"/>
  <c r="D82"/>
  <c r="E83"/>
  <c r="F83"/>
  <c r="E84"/>
  <c r="F84"/>
  <c r="E85"/>
  <c r="F85"/>
  <c r="F86"/>
  <c r="C87"/>
  <c r="E88"/>
  <c r="F88"/>
  <c r="E89"/>
  <c r="F89"/>
  <c r="E90"/>
  <c r="E91"/>
  <c r="E92"/>
  <c r="C93"/>
  <c r="D93"/>
  <c r="E94"/>
  <c r="F94"/>
  <c r="E95"/>
  <c r="F95"/>
  <c r="E96"/>
  <c r="F96"/>
  <c r="D17" i="13"/>
  <c r="C5"/>
  <c r="E5" s="1"/>
  <c r="E6"/>
  <c r="F6"/>
  <c r="E8"/>
  <c r="F8"/>
  <c r="E9"/>
  <c r="F9"/>
  <c r="E10"/>
  <c r="F10"/>
  <c r="E11"/>
  <c r="F11"/>
  <c r="C12"/>
  <c r="F12" s="1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D31"/>
  <c r="E31" s="1"/>
  <c r="E32"/>
  <c r="F32"/>
  <c r="E33"/>
  <c r="F33"/>
  <c r="C34"/>
  <c r="D34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D64"/>
  <c r="E65"/>
  <c r="F65"/>
  <c r="E66"/>
  <c r="F66"/>
  <c r="E67"/>
  <c r="F67"/>
  <c r="E68"/>
  <c r="F68"/>
  <c r="C69"/>
  <c r="E71"/>
  <c r="F71"/>
  <c r="E72"/>
  <c r="F72"/>
  <c r="E73"/>
  <c r="F73"/>
  <c r="E74"/>
  <c r="E75"/>
  <c r="F75"/>
  <c r="E76"/>
  <c r="F76"/>
  <c r="E77"/>
  <c r="F77"/>
  <c r="E79"/>
  <c r="C80"/>
  <c r="D80"/>
  <c r="E81"/>
  <c r="F81"/>
  <c r="E82"/>
  <c r="F82"/>
  <c r="E83"/>
  <c r="F83"/>
  <c r="F84"/>
  <c r="C85"/>
  <c r="D85"/>
  <c r="E85" s="1"/>
  <c r="E86"/>
  <c r="F86"/>
  <c r="E87"/>
  <c r="F87"/>
  <c r="E88"/>
  <c r="E89"/>
  <c r="E90"/>
  <c r="C91"/>
  <c r="D91"/>
  <c r="EU23" i="2" s="1"/>
  <c r="E92" i="13"/>
  <c r="F92"/>
  <c r="E93"/>
  <c r="F93"/>
  <c r="E94"/>
  <c r="F94"/>
  <c r="D5" i="12"/>
  <c r="D7"/>
  <c r="F7" s="1"/>
  <c r="D12"/>
  <c r="D14"/>
  <c r="C5"/>
  <c r="E5" s="1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C29"/>
  <c r="AY22" i="2" s="1"/>
  <c r="E30" i="12"/>
  <c r="F30"/>
  <c r="C32"/>
  <c r="D32"/>
  <c r="BF22" i="2" s="1"/>
  <c r="E33" i="12"/>
  <c r="F33"/>
  <c r="E34"/>
  <c r="F34"/>
  <c r="C37"/>
  <c r="E38"/>
  <c r="F38"/>
  <c r="E39"/>
  <c r="F39"/>
  <c r="E42"/>
  <c r="F42"/>
  <c r="E43"/>
  <c r="F43"/>
  <c r="E44"/>
  <c r="F44"/>
  <c r="E45"/>
  <c r="F45"/>
  <c r="E46"/>
  <c r="F46"/>
  <c r="E47"/>
  <c r="F47"/>
  <c r="E49"/>
  <c r="F49"/>
  <c r="F58"/>
  <c r="E59"/>
  <c r="F59"/>
  <c r="E60"/>
  <c r="F60"/>
  <c r="E61"/>
  <c r="F61"/>
  <c r="E62"/>
  <c r="F62"/>
  <c r="C63"/>
  <c r="E63" s="1"/>
  <c r="E64"/>
  <c r="F64"/>
  <c r="C65"/>
  <c r="EB22" i="2" s="1"/>
  <c r="D65" i="12"/>
  <c r="E66"/>
  <c r="F66"/>
  <c r="E67"/>
  <c r="F67"/>
  <c r="E68"/>
  <c r="F68"/>
  <c r="E69"/>
  <c r="F69"/>
  <c r="D70"/>
  <c r="F71"/>
  <c r="E72"/>
  <c r="F72"/>
  <c r="F74"/>
  <c r="F75"/>
  <c r="C76"/>
  <c r="EH22" i="2" s="1"/>
  <c r="E77" i="12"/>
  <c r="F77"/>
  <c r="E78"/>
  <c r="F78"/>
  <c r="E79"/>
  <c r="F79"/>
  <c r="E81"/>
  <c r="F81"/>
  <c r="C82"/>
  <c r="D82"/>
  <c r="E83"/>
  <c r="F83"/>
  <c r="E84"/>
  <c r="F84"/>
  <c r="E85"/>
  <c r="F85"/>
  <c r="F86"/>
  <c r="C87"/>
  <c r="D87"/>
  <c r="E88"/>
  <c r="F88"/>
  <c r="E89"/>
  <c r="F89"/>
  <c r="E90"/>
  <c r="E91"/>
  <c r="E92"/>
  <c r="E93"/>
  <c r="F93"/>
  <c r="E94"/>
  <c r="F94"/>
  <c r="E95"/>
  <c r="E96"/>
  <c r="F96"/>
  <c r="D5" i="11"/>
  <c r="D7"/>
  <c r="F7" s="1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26"/>
  <c r="D36"/>
  <c r="E27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5"/>
  <c r="E55" s="1"/>
  <c r="E57"/>
  <c r="F57"/>
  <c r="F58"/>
  <c r="E59"/>
  <c r="F59"/>
  <c r="E60"/>
  <c r="F60"/>
  <c r="E61"/>
  <c r="F61"/>
  <c r="E62"/>
  <c r="F62"/>
  <c r="C63"/>
  <c r="E64"/>
  <c r="F64"/>
  <c r="C65"/>
  <c r="EB21" i="2" s="1"/>
  <c r="E66" i="11"/>
  <c r="F66"/>
  <c r="E67"/>
  <c r="F67"/>
  <c r="E68"/>
  <c r="F68"/>
  <c r="E69"/>
  <c r="F69"/>
  <c r="D70"/>
  <c r="E72"/>
  <c r="F72"/>
  <c r="E74"/>
  <c r="F74"/>
  <c r="C75"/>
  <c r="D75"/>
  <c r="E78"/>
  <c r="F78"/>
  <c r="F80"/>
  <c r="C81"/>
  <c r="D81"/>
  <c r="E82"/>
  <c r="F82"/>
  <c r="E83"/>
  <c r="F83"/>
  <c r="E84"/>
  <c r="F84"/>
  <c r="F85"/>
  <c r="C86"/>
  <c r="EQ21" i="2" s="1"/>
  <c r="D86" i="11"/>
  <c r="E87"/>
  <c r="F87"/>
  <c r="E88"/>
  <c r="F88"/>
  <c r="E89"/>
  <c r="E90"/>
  <c r="E91"/>
  <c r="C92"/>
  <c r="D92"/>
  <c r="E93"/>
  <c r="F93"/>
  <c r="E94"/>
  <c r="F94"/>
  <c r="E95"/>
  <c r="F95"/>
  <c r="C5" i="10"/>
  <c r="D5"/>
  <c r="E5" s="1"/>
  <c r="E6"/>
  <c r="F6"/>
  <c r="F7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D36"/>
  <c r="E37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D66"/>
  <c r="E67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82"/>
  <c r="F82"/>
  <c r="C83"/>
  <c r="EN20" i="2" s="1"/>
  <c r="D83" i="10"/>
  <c r="EO20" i="2" s="1"/>
  <c r="E84" i="10"/>
  <c r="F84"/>
  <c r="E85"/>
  <c r="F85"/>
  <c r="E86"/>
  <c r="F86"/>
  <c r="F87"/>
  <c r="C88"/>
  <c r="D88"/>
  <c r="E89"/>
  <c r="F89"/>
  <c r="E90"/>
  <c r="F90"/>
  <c r="E91"/>
  <c r="E92"/>
  <c r="E93"/>
  <c r="C94"/>
  <c r="D94"/>
  <c r="E95"/>
  <c r="F95"/>
  <c r="E96"/>
  <c r="F96"/>
  <c r="E97"/>
  <c r="F97"/>
  <c r="C5" i="9"/>
  <c r="E6"/>
  <c r="F6"/>
  <c r="D7"/>
  <c r="F7" s="1"/>
  <c r="E8"/>
  <c r="F8"/>
  <c r="E9"/>
  <c r="F9"/>
  <c r="E10"/>
  <c r="F10"/>
  <c r="E11"/>
  <c r="F11"/>
  <c r="C12"/>
  <c r="F13"/>
  <c r="C14"/>
  <c r="D14"/>
  <c r="E15"/>
  <c r="F15"/>
  <c r="E16"/>
  <c r="F16"/>
  <c r="C17"/>
  <c r="F17" s="1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E36" s="1"/>
  <c r="D36"/>
  <c r="E37"/>
  <c r="F37"/>
  <c r="E38"/>
  <c r="F38"/>
  <c r="E41"/>
  <c r="F41"/>
  <c r="E43"/>
  <c r="F43"/>
  <c r="E45"/>
  <c r="F45"/>
  <c r="E46"/>
  <c r="F46"/>
  <c r="E47"/>
  <c r="F47"/>
  <c r="F48"/>
  <c r="E49"/>
  <c r="F49"/>
  <c r="C56"/>
  <c r="E56" s="1"/>
  <c r="E58"/>
  <c r="F58"/>
  <c r="F59"/>
  <c r="E60"/>
  <c r="F60"/>
  <c r="E61"/>
  <c r="F61"/>
  <c r="E62"/>
  <c r="F62"/>
  <c r="E63"/>
  <c r="F63"/>
  <c r="C64"/>
  <c r="E65"/>
  <c r="F65"/>
  <c r="C66"/>
  <c r="E67"/>
  <c r="F67"/>
  <c r="E68"/>
  <c r="F68"/>
  <c r="E69"/>
  <c r="F69"/>
  <c r="E70"/>
  <c r="F70"/>
  <c r="C71"/>
  <c r="E72"/>
  <c r="F72"/>
  <c r="E73"/>
  <c r="F73"/>
  <c r="E75"/>
  <c r="F75"/>
  <c r="C76"/>
  <c r="D76"/>
  <c r="E77"/>
  <c r="F77"/>
  <c r="E78"/>
  <c r="F78"/>
  <c r="F79"/>
  <c r="E80"/>
  <c r="F80"/>
  <c r="C81"/>
  <c r="D81"/>
  <c r="E82"/>
  <c r="F82"/>
  <c r="E83"/>
  <c r="F83"/>
  <c r="C84"/>
  <c r="D84"/>
  <c r="C91"/>
  <c r="D91"/>
  <c r="E92"/>
  <c r="F92"/>
  <c r="E93"/>
  <c r="F93"/>
  <c r="E94"/>
  <c r="E95"/>
  <c r="E96"/>
  <c r="C97"/>
  <c r="ET19" i="2" s="1"/>
  <c r="D97" i="9"/>
  <c r="E98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6" s="1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6" s="1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64"/>
  <c r="E65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D83"/>
  <c r="E84"/>
  <c r="F84"/>
  <c r="E85"/>
  <c r="F85"/>
  <c r="E86"/>
  <c r="F86"/>
  <c r="F87"/>
  <c r="C88"/>
  <c r="EQ18" i="2" s="1"/>
  <c r="D88" i="8"/>
  <c r="E89"/>
  <c r="F89"/>
  <c r="E90"/>
  <c r="F90"/>
  <c r="E91"/>
  <c r="E92"/>
  <c r="E93"/>
  <c r="C94"/>
  <c r="ET18" i="2" s="1"/>
  <c r="E95" i="8"/>
  <c r="F95"/>
  <c r="E96"/>
  <c r="F96"/>
  <c r="C5" i="7"/>
  <c r="D5"/>
  <c r="E6"/>
  <c r="F6"/>
  <c r="E7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F40"/>
  <c r="E41"/>
  <c r="F41"/>
  <c r="E43"/>
  <c r="F43"/>
  <c r="E45"/>
  <c r="F45"/>
  <c r="E46"/>
  <c r="F46"/>
  <c r="E47"/>
  <c r="F47"/>
  <c r="F48"/>
  <c r="E49"/>
  <c r="F49"/>
  <c r="E55"/>
  <c r="E57"/>
  <c r="F57"/>
  <c r="F58"/>
  <c r="E59"/>
  <c r="F59"/>
  <c r="E60"/>
  <c r="F60"/>
  <c r="E61"/>
  <c r="F61"/>
  <c r="E62"/>
  <c r="F62"/>
  <c r="C63"/>
  <c r="E64"/>
  <c r="F64"/>
  <c r="C65"/>
  <c r="E65" s="1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79" s="1"/>
  <c r="E80"/>
  <c r="F80"/>
  <c r="C81"/>
  <c r="E81" s="1"/>
  <c r="E82"/>
  <c r="F82"/>
  <c r="E83"/>
  <c r="F83"/>
  <c r="E84"/>
  <c r="F84"/>
  <c r="F85"/>
  <c r="C86"/>
  <c r="E87"/>
  <c r="F87"/>
  <c r="E88"/>
  <c r="F88"/>
  <c r="E89"/>
  <c r="E90"/>
  <c r="E91"/>
  <c r="C92"/>
  <c r="D92"/>
  <c r="E93"/>
  <c r="F93"/>
  <c r="E94"/>
  <c r="F94"/>
  <c r="E95"/>
  <c r="F95"/>
  <c r="C5" i="6"/>
  <c r="E6"/>
  <c r="F6"/>
  <c r="D7"/>
  <c r="E7" s="1"/>
  <c r="E8"/>
  <c r="F8"/>
  <c r="E9"/>
  <c r="F9"/>
  <c r="E10"/>
  <c r="F10"/>
  <c r="E11"/>
  <c r="F11"/>
  <c r="C12"/>
  <c r="E12" s="1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6"/>
  <c r="F26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C37"/>
  <c r="E38"/>
  <c r="E39"/>
  <c r="F39"/>
  <c r="D41"/>
  <c r="E42"/>
  <c r="F42"/>
  <c r="E43"/>
  <c r="F43"/>
  <c r="E44"/>
  <c r="F44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4" s="1"/>
  <c r="E65"/>
  <c r="F65"/>
  <c r="C66"/>
  <c r="EB16" i="2" s="1"/>
  <c r="EC16"/>
  <c r="E67" i="6"/>
  <c r="F67"/>
  <c r="E68"/>
  <c r="F68"/>
  <c r="E69"/>
  <c r="F69"/>
  <c r="E70"/>
  <c r="F70"/>
  <c r="D71"/>
  <c r="E72"/>
  <c r="F72"/>
  <c r="E73"/>
  <c r="F73"/>
  <c r="E75"/>
  <c r="F75"/>
  <c r="C78"/>
  <c r="D78"/>
  <c r="E79"/>
  <c r="F79"/>
  <c r="E80"/>
  <c r="F80"/>
  <c r="E81"/>
  <c r="F81"/>
  <c r="C82"/>
  <c r="EK16" i="2" s="1"/>
  <c r="D82" i="6"/>
  <c r="E83"/>
  <c r="F83"/>
  <c r="C84"/>
  <c r="D84"/>
  <c r="E84" s="1"/>
  <c r="E85"/>
  <c r="F85"/>
  <c r="E86"/>
  <c r="F86"/>
  <c r="E87"/>
  <c r="F87"/>
  <c r="F88"/>
  <c r="C89"/>
  <c r="EQ16" i="2" s="1"/>
  <c r="D89" i="6"/>
  <c r="ER16" i="2" s="1"/>
  <c r="E90" i="6"/>
  <c r="F90"/>
  <c r="E91"/>
  <c r="F91"/>
  <c r="F89" s="1"/>
  <c r="E92"/>
  <c r="E93"/>
  <c r="E94"/>
  <c r="C95"/>
  <c r="D95"/>
  <c r="EU16" i="2" s="1"/>
  <c r="E96" i="6"/>
  <c r="F96"/>
  <c r="E97"/>
  <c r="F97"/>
  <c r="E98"/>
  <c r="F98"/>
  <c r="D5" i="5"/>
  <c r="E6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BK31" s="1"/>
  <c r="D35" i="5"/>
  <c r="BL15" i="2" s="1"/>
  <c r="BL31" s="1"/>
  <c r="E36" i="5"/>
  <c r="F36"/>
  <c r="C37"/>
  <c r="BQ15" i="2" s="1"/>
  <c r="D37" i="5"/>
  <c r="BR15" i="2" s="1"/>
  <c r="E38" i="5"/>
  <c r="F38"/>
  <c r="E39"/>
  <c r="F39"/>
  <c r="E41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E68"/>
  <c r="F68"/>
  <c r="E69"/>
  <c r="F69"/>
  <c r="E70"/>
  <c r="F70"/>
  <c r="E71"/>
  <c r="F71"/>
  <c r="D72"/>
  <c r="E72" s="1"/>
  <c r="E73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86"/>
  <c r="F86"/>
  <c r="E87"/>
  <c r="F87"/>
  <c r="E88"/>
  <c r="F88"/>
  <c r="E89"/>
  <c r="F89"/>
  <c r="C90"/>
  <c r="D90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F12" s="1"/>
  <c r="E13"/>
  <c r="F13"/>
  <c r="C14"/>
  <c r="E14" s="1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6" s="1"/>
  <c r="E27"/>
  <c r="F27"/>
  <c r="E28"/>
  <c r="F28"/>
  <c r="C29"/>
  <c r="D29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F60"/>
  <c r="E61"/>
  <c r="F61"/>
  <c r="E63"/>
  <c r="F63"/>
  <c r="E64"/>
  <c r="F64"/>
  <c r="E65"/>
  <c r="F65"/>
  <c r="E66"/>
  <c r="F66"/>
  <c r="E67"/>
  <c r="E68"/>
  <c r="F68"/>
  <c r="E69"/>
  <c r="F69"/>
  <c r="E70"/>
  <c r="F70"/>
  <c r="E71"/>
  <c r="F71"/>
  <c r="E72"/>
  <c r="F72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E17"/>
  <c r="F17"/>
  <c r="E18"/>
  <c r="F18"/>
  <c r="E19"/>
  <c r="F19"/>
  <c r="E20"/>
  <c r="F20"/>
  <c r="C21"/>
  <c r="E22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1"/>
  <c r="E42"/>
  <c r="F42"/>
  <c r="C43"/>
  <c r="D43"/>
  <c r="E44"/>
  <c r="F44"/>
  <c r="F45"/>
  <c r="C46"/>
  <c r="F18" i="1" s="1"/>
  <c r="D49" i="3"/>
  <c r="E47"/>
  <c r="F47"/>
  <c r="E48"/>
  <c r="F48"/>
  <c r="C49"/>
  <c r="E50"/>
  <c r="F50"/>
  <c r="E52"/>
  <c r="F52"/>
  <c r="E53"/>
  <c r="F53"/>
  <c r="F54"/>
  <c r="E55"/>
  <c r="F55"/>
  <c r="F56"/>
  <c r="E57"/>
  <c r="F57"/>
  <c r="E58"/>
  <c r="F58"/>
  <c r="F59"/>
  <c r="E60"/>
  <c r="F60"/>
  <c r="F61"/>
  <c r="E62"/>
  <c r="F62"/>
  <c r="E63"/>
  <c r="F63"/>
  <c r="E64"/>
  <c r="F64"/>
  <c r="E65"/>
  <c r="F65"/>
  <c r="E67"/>
  <c r="F67"/>
  <c r="C68"/>
  <c r="E68"/>
  <c r="F69"/>
  <c r="F70"/>
  <c r="F73"/>
  <c r="F74"/>
  <c r="E75"/>
  <c r="F75"/>
  <c r="E76"/>
  <c r="F76"/>
  <c r="E77"/>
  <c r="F77"/>
  <c r="E78"/>
  <c r="F78"/>
  <c r="F79"/>
  <c r="E80"/>
  <c r="F80"/>
  <c r="F81"/>
  <c r="E88"/>
  <c r="F88"/>
  <c r="E89"/>
  <c r="F89"/>
  <c r="F90"/>
  <c r="E91"/>
  <c r="F91"/>
  <c r="F92"/>
  <c r="E93"/>
  <c r="F93"/>
  <c r="E94"/>
  <c r="F94"/>
  <c r="C95"/>
  <c r="F95" s="1"/>
  <c r="E96"/>
  <c r="F96"/>
  <c r="F97"/>
  <c r="E98"/>
  <c r="F98"/>
  <c r="E99"/>
  <c r="F99"/>
  <c r="E100"/>
  <c r="F100"/>
  <c r="F101"/>
  <c r="E103"/>
  <c r="F103"/>
  <c r="E104"/>
  <c r="F104"/>
  <c r="E105"/>
  <c r="F105"/>
  <c r="E106"/>
  <c r="F106"/>
  <c r="E108"/>
  <c r="F108"/>
  <c r="F109"/>
  <c r="F110"/>
  <c r="C111"/>
  <c r="E112"/>
  <c r="F112"/>
  <c r="E114"/>
  <c r="F114"/>
  <c r="E115"/>
  <c r="F115"/>
  <c r="E117"/>
  <c r="F117"/>
  <c r="E118"/>
  <c r="F118"/>
  <c r="E120"/>
  <c r="F120"/>
  <c r="E121"/>
  <c r="F121"/>
  <c r="E123"/>
  <c r="F123"/>
  <c r="E124"/>
  <c r="F124"/>
  <c r="E125"/>
  <c r="F125"/>
  <c r="E126"/>
  <c r="F126"/>
  <c r="E128"/>
  <c r="F128"/>
  <c r="E129"/>
  <c r="F129"/>
  <c r="E131"/>
  <c r="E132"/>
  <c r="C133"/>
  <c r="D133"/>
  <c r="E134"/>
  <c r="F134"/>
  <c r="C135"/>
  <c r="D135"/>
  <c r="F136"/>
  <c r="E137"/>
  <c r="E138"/>
  <c r="F138"/>
  <c r="E139"/>
  <c r="F139"/>
  <c r="E140"/>
  <c r="F140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AY14"/>
  <c r="BA14" s="1"/>
  <c r="BB14"/>
  <c r="BC14"/>
  <c r="BJ14"/>
  <c r="BP14"/>
  <c r="BQ14"/>
  <c r="BV14"/>
  <c r="BY14"/>
  <c r="CC14"/>
  <c r="CD14"/>
  <c r="CF14"/>
  <c r="CG14"/>
  <c r="CJ14"/>
  <c r="CK14" s="1"/>
  <c r="CL14"/>
  <c r="CM14"/>
  <c r="CT14"/>
  <c r="CZ14"/>
  <c r="DM14"/>
  <c r="DS14"/>
  <c r="DT14"/>
  <c r="DV14"/>
  <c r="DW14"/>
  <c r="DY14"/>
  <c r="DZ14"/>
  <c r="EB14"/>
  <c r="EE14"/>
  <c r="EF14"/>
  <c r="EH14"/>
  <c r="EI14"/>
  <c r="EL14"/>
  <c r="EN14"/>
  <c r="EO14"/>
  <c r="ER14"/>
  <c r="ET14"/>
  <c r="I15"/>
  <c r="K15" s="1"/>
  <c r="L15"/>
  <c r="M15"/>
  <c r="O15"/>
  <c r="P15"/>
  <c r="R15"/>
  <c r="S15"/>
  <c r="U15"/>
  <c r="V15"/>
  <c r="X15"/>
  <c r="Z15" s="1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K15" s="1"/>
  <c r="CL15"/>
  <c r="CM15"/>
  <c r="CO15"/>
  <c r="CP15"/>
  <c r="CT15"/>
  <c r="CZ15"/>
  <c r="DM15"/>
  <c r="DP15"/>
  <c r="DQ15"/>
  <c r="DS15"/>
  <c r="DT15"/>
  <c r="DV15"/>
  <c r="DX15" s="1"/>
  <c r="DW15"/>
  <c r="DY15"/>
  <c r="DZ15"/>
  <c r="EC15"/>
  <c r="EQ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R16" s="1"/>
  <c r="AT16"/>
  <c r="AU16" s="1"/>
  <c r="AX16"/>
  <c r="BA16"/>
  <c r="BE16"/>
  <c r="BF16"/>
  <c r="BJ16"/>
  <c r="BR16"/>
  <c r="BV16"/>
  <c r="BY16"/>
  <c r="CC16"/>
  <c r="CD16"/>
  <c r="CF16"/>
  <c r="CG16"/>
  <c r="CJ16"/>
  <c r="CL16"/>
  <c r="CM16"/>
  <c r="CT16"/>
  <c r="CZ16"/>
  <c r="DM16"/>
  <c r="DP16"/>
  <c r="DR16" s="1"/>
  <c r="DS16"/>
  <c r="DT16"/>
  <c r="DW16"/>
  <c r="DY16"/>
  <c r="DZ16"/>
  <c r="EH16"/>
  <c r="EO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U17" s="1"/>
  <c r="AX17"/>
  <c r="BA17"/>
  <c r="BE17"/>
  <c r="BF17"/>
  <c r="BJ17"/>
  <c r="BR17"/>
  <c r="BV17"/>
  <c r="BY17"/>
  <c r="CC17"/>
  <c r="CD17"/>
  <c r="CF17"/>
  <c r="CG17"/>
  <c r="CJ17"/>
  <c r="CL17"/>
  <c r="CM17"/>
  <c r="CT17"/>
  <c r="CZ17"/>
  <c r="DM17"/>
  <c r="DS17"/>
  <c r="DT17"/>
  <c r="DV17"/>
  <c r="DW17"/>
  <c r="DY17"/>
  <c r="DZ17"/>
  <c r="EB17"/>
  <c r="EC17"/>
  <c r="EI17"/>
  <c r="EL17"/>
  <c r="EN17"/>
  <c r="EO17"/>
  <c r="I18"/>
  <c r="K18" s="1"/>
  <c r="L18"/>
  <c r="M18"/>
  <c r="O18"/>
  <c r="P18"/>
  <c r="R18"/>
  <c r="S18"/>
  <c r="U18"/>
  <c r="V18"/>
  <c r="X18"/>
  <c r="AA18"/>
  <c r="AB18"/>
  <c r="AD18"/>
  <c r="AE18"/>
  <c r="AG18"/>
  <c r="AH18"/>
  <c r="AJ18"/>
  <c r="AK18"/>
  <c r="AN18"/>
  <c r="AO18" s="1"/>
  <c r="AR18"/>
  <c r="AX18"/>
  <c r="BE18"/>
  <c r="BQ18"/>
  <c r="BR18"/>
  <c r="BV18"/>
  <c r="BY18"/>
  <c r="CC18"/>
  <c r="CD18"/>
  <c r="CF18"/>
  <c r="CG18"/>
  <c r="CJ18"/>
  <c r="CM18"/>
  <c r="CN18" s="1"/>
  <c r="CO18"/>
  <c r="CP18"/>
  <c r="CT18"/>
  <c r="CZ18"/>
  <c r="DM18"/>
  <c r="DP18"/>
  <c r="DR18" s="1"/>
  <c r="DS18"/>
  <c r="DT18"/>
  <c r="DV18"/>
  <c r="DW18"/>
  <c r="DY18"/>
  <c r="EB18"/>
  <c r="EN18"/>
  <c r="I19"/>
  <c r="K19" s="1"/>
  <c r="L19"/>
  <c r="M19"/>
  <c r="N19" s="1"/>
  <c r="O19"/>
  <c r="P19"/>
  <c r="R19"/>
  <c r="S19"/>
  <c r="U19"/>
  <c r="V19"/>
  <c r="X19"/>
  <c r="AA19"/>
  <c r="AB19"/>
  <c r="AD19"/>
  <c r="AE19"/>
  <c r="AG19"/>
  <c r="AH19"/>
  <c r="AL19"/>
  <c r="AM19"/>
  <c r="AN19"/>
  <c r="AO19" s="1"/>
  <c r="AX19"/>
  <c r="BE19"/>
  <c r="BF19"/>
  <c r="BJ19"/>
  <c r="BQ19"/>
  <c r="BV19"/>
  <c r="BY19"/>
  <c r="CD19"/>
  <c r="CF19"/>
  <c r="CG19"/>
  <c r="CJ19"/>
  <c r="CK19" s="1"/>
  <c r="CL19"/>
  <c r="CM19"/>
  <c r="CP19"/>
  <c r="CQ19" s="1"/>
  <c r="CZ19"/>
  <c r="DM19"/>
  <c r="DO19" s="1"/>
  <c r="DP19"/>
  <c r="DQ19"/>
  <c r="DS19"/>
  <c r="DT19"/>
  <c r="DV19"/>
  <c r="DW19"/>
  <c r="DY19"/>
  <c r="DZ19"/>
  <c r="EB19"/>
  <c r="EI19"/>
  <c r="EK19"/>
  <c r="ER19"/>
  <c r="EU19"/>
  <c r="EV19" s="1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U20" s="1"/>
  <c r="AX20"/>
  <c r="BE20"/>
  <c r="BF20"/>
  <c r="BJ20"/>
  <c r="BQ20"/>
  <c r="BV20"/>
  <c r="BY20"/>
  <c r="CD20"/>
  <c r="CF20"/>
  <c r="CG20"/>
  <c r="CJ20"/>
  <c r="CK20" s="1"/>
  <c r="CL20"/>
  <c r="CM20"/>
  <c r="CP20"/>
  <c r="CR20"/>
  <c r="CS20"/>
  <c r="CS31" s="1"/>
  <c r="CZ20"/>
  <c r="DM20"/>
  <c r="DO20" s="1"/>
  <c r="DP20"/>
  <c r="DS20"/>
  <c r="DT20"/>
  <c r="DV20"/>
  <c r="DW20"/>
  <c r="DY20"/>
  <c r="DZ20"/>
  <c r="EB20"/>
  <c r="EC20"/>
  <c r="EK20"/>
  <c r="EQ20"/>
  <c r="ER20"/>
  <c r="ET20"/>
  <c r="I21"/>
  <c r="K21" s="1"/>
  <c r="M21"/>
  <c r="P21"/>
  <c r="S21"/>
  <c r="V21"/>
  <c r="AB21"/>
  <c r="AE21"/>
  <c r="AH21"/>
  <c r="AT21"/>
  <c r="AU21" s="1"/>
  <c r="BR21"/>
  <c r="L21"/>
  <c r="O21"/>
  <c r="R21"/>
  <c r="U21"/>
  <c r="X21"/>
  <c r="AA21"/>
  <c r="AD21"/>
  <c r="AG21"/>
  <c r="AJ21"/>
  <c r="AO21"/>
  <c r="AX21"/>
  <c r="BE21"/>
  <c r="BF21"/>
  <c r="BJ21"/>
  <c r="BP21"/>
  <c r="BV21"/>
  <c r="BY21"/>
  <c r="CC21"/>
  <c r="CD21"/>
  <c r="CJ21"/>
  <c r="CM21"/>
  <c r="CF21"/>
  <c r="CG21"/>
  <c r="CL21"/>
  <c r="CT21"/>
  <c r="CZ21"/>
  <c r="DM21"/>
  <c r="DP21"/>
  <c r="DS21"/>
  <c r="DT21"/>
  <c r="DV21"/>
  <c r="DW21"/>
  <c r="DY21"/>
  <c r="DZ21"/>
  <c r="EF21"/>
  <c r="EH21"/>
  <c r="EL21"/>
  <c r="EN21"/>
  <c r="ER21"/>
  <c r="ET21"/>
  <c r="EU21"/>
  <c r="I22"/>
  <c r="M22"/>
  <c r="P22"/>
  <c r="S22"/>
  <c r="V22"/>
  <c r="AB22"/>
  <c r="AE22"/>
  <c r="AH22"/>
  <c r="AT22"/>
  <c r="AU22" s="1"/>
  <c r="L22"/>
  <c r="O22"/>
  <c r="R22"/>
  <c r="U22"/>
  <c r="X22"/>
  <c r="AA22"/>
  <c r="AD22"/>
  <c r="AG22"/>
  <c r="AX22"/>
  <c r="BJ22"/>
  <c r="BQ22"/>
  <c r="BV22"/>
  <c r="BY22"/>
  <c r="CC22"/>
  <c r="CD22"/>
  <c r="CM22"/>
  <c r="CF22"/>
  <c r="CG22"/>
  <c r="CJ22"/>
  <c r="CK22" s="1"/>
  <c r="CL22"/>
  <c r="CT22"/>
  <c r="CZ22"/>
  <c r="DP22"/>
  <c r="DS22"/>
  <c r="DT22"/>
  <c r="DV22"/>
  <c r="DW22"/>
  <c r="DY22"/>
  <c r="EC22"/>
  <c r="EF22"/>
  <c r="EI22"/>
  <c r="EK22"/>
  <c r="EN22"/>
  <c r="EO22"/>
  <c r="ET22"/>
  <c r="EU22"/>
  <c r="M23"/>
  <c r="N23" s="1"/>
  <c r="P23"/>
  <c r="S23"/>
  <c r="V23"/>
  <c r="AB23"/>
  <c r="AE23"/>
  <c r="AF23" s="1"/>
  <c r="AH23"/>
  <c r="CD23"/>
  <c r="CJ23"/>
  <c r="CM23"/>
  <c r="O23"/>
  <c r="R23"/>
  <c r="U23"/>
  <c r="X23"/>
  <c r="Z23" s="1"/>
  <c r="AA23"/>
  <c r="AG23"/>
  <c r="AL23"/>
  <c r="AO23"/>
  <c r="AT23"/>
  <c r="AU23" s="1"/>
  <c r="AX23"/>
  <c r="BE23"/>
  <c r="BF23"/>
  <c r="BJ23"/>
  <c r="BQ23"/>
  <c r="BV23"/>
  <c r="BY23"/>
  <c r="CC23"/>
  <c r="CL23"/>
  <c r="CT23"/>
  <c r="CZ23"/>
  <c r="DM23"/>
  <c r="DP23"/>
  <c r="DQ23"/>
  <c r="DS23"/>
  <c r="DT23"/>
  <c r="DV23"/>
  <c r="DW23"/>
  <c r="DY23"/>
  <c r="DZ23"/>
  <c r="EB23"/>
  <c r="EC23"/>
  <c r="EF23"/>
  <c r="EH23"/>
  <c r="EI23"/>
  <c r="EN23"/>
  <c r="EQ23"/>
  <c r="ER23"/>
  <c r="ET23"/>
  <c r="M24"/>
  <c r="P24"/>
  <c r="S24"/>
  <c r="V24"/>
  <c r="AB24"/>
  <c r="AE24"/>
  <c r="AF24" s="1"/>
  <c r="AH24"/>
  <c r="CD24"/>
  <c r="CJ24"/>
  <c r="CK24" s="1"/>
  <c r="CM24"/>
  <c r="L24"/>
  <c r="O24"/>
  <c r="R24"/>
  <c r="U24"/>
  <c r="X24"/>
  <c r="AG24"/>
  <c r="AJ24"/>
  <c r="AL24" s="1"/>
  <c r="AO24"/>
  <c r="AT24"/>
  <c r="AU24" s="1"/>
  <c r="AX24"/>
  <c r="BE24"/>
  <c r="BF24"/>
  <c r="BJ24"/>
  <c r="BQ24"/>
  <c r="BV24"/>
  <c r="BY24"/>
  <c r="CC24"/>
  <c r="CF24"/>
  <c r="CG24"/>
  <c r="CH24" s="1"/>
  <c r="CL24"/>
  <c r="CT24"/>
  <c r="CZ24"/>
  <c r="DM24"/>
  <c r="DO24" s="1"/>
  <c r="DP24"/>
  <c r="DR24" s="1"/>
  <c r="DS24"/>
  <c r="DT24"/>
  <c r="DV24"/>
  <c r="DW24"/>
  <c r="DY24"/>
  <c r="DZ24"/>
  <c r="EC24"/>
  <c r="EF24"/>
  <c r="EK24"/>
  <c r="EN24"/>
  <c r="EO24"/>
  <c r="EQ24"/>
  <c r="EU24"/>
  <c r="M25"/>
  <c r="S25"/>
  <c r="V25"/>
  <c r="AB25"/>
  <c r="AE25"/>
  <c r="AH25"/>
  <c r="AO25"/>
  <c r="AT25"/>
  <c r="AU25" s="1"/>
  <c r="CD25"/>
  <c r="CJ25"/>
  <c r="CK25" s="1"/>
  <c r="CM25"/>
  <c r="I25"/>
  <c r="K25" s="1"/>
  <c r="L25"/>
  <c r="O25"/>
  <c r="Q25" s="1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T25"/>
  <c r="CZ25"/>
  <c r="DM25"/>
  <c r="DP25"/>
  <c r="DQ25"/>
  <c r="DS25"/>
  <c r="DT25"/>
  <c r="DV25"/>
  <c r="DW25"/>
  <c r="DY25"/>
  <c r="DZ25"/>
  <c r="EB25"/>
  <c r="EC25"/>
  <c r="EF25"/>
  <c r="EI25"/>
  <c r="EK25"/>
  <c r="EL25"/>
  <c r="EO25"/>
  <c r="EQ25"/>
  <c r="ET25"/>
  <c r="EU25"/>
  <c r="M26"/>
  <c r="P26"/>
  <c r="S26"/>
  <c r="V26"/>
  <c r="AB26"/>
  <c r="AE26"/>
  <c r="AH26"/>
  <c r="AT26"/>
  <c r="AU26" s="1"/>
  <c r="CD26"/>
  <c r="CE26" s="1"/>
  <c r="CM26"/>
  <c r="I26"/>
  <c r="L26"/>
  <c r="O26"/>
  <c r="R26"/>
  <c r="U26"/>
  <c r="X26"/>
  <c r="AA26"/>
  <c r="AD26"/>
  <c r="AG26"/>
  <c r="AL26"/>
  <c r="AX26"/>
  <c r="BE26"/>
  <c r="BF26"/>
  <c r="BJ26"/>
  <c r="BR26"/>
  <c r="BV26"/>
  <c r="BY26"/>
  <c r="CF26"/>
  <c r="CG26"/>
  <c r="CJ26"/>
  <c r="CL26"/>
  <c r="CZ26"/>
  <c r="DM26"/>
  <c r="DO26" s="1"/>
  <c r="DP26"/>
  <c r="DQ26"/>
  <c r="DS26"/>
  <c r="DT26"/>
  <c r="DV26"/>
  <c r="DW26"/>
  <c r="DY26"/>
  <c r="DZ26"/>
  <c r="EB26"/>
  <c r="EC26"/>
  <c r="EH26"/>
  <c r="EK26"/>
  <c r="EL26"/>
  <c r="EN26"/>
  <c r="EO26"/>
  <c r="ET26"/>
  <c r="EU26"/>
  <c r="M27"/>
  <c r="P27"/>
  <c r="S27"/>
  <c r="V27"/>
  <c r="AB27"/>
  <c r="AE27"/>
  <c r="AH27"/>
  <c r="AT27"/>
  <c r="AU27" s="1"/>
  <c r="CD27"/>
  <c r="CM27"/>
  <c r="I27"/>
  <c r="L27"/>
  <c r="O27"/>
  <c r="R27"/>
  <c r="U27"/>
  <c r="X27"/>
  <c r="Z27" s="1"/>
  <c r="AA27"/>
  <c r="AD27"/>
  <c r="AG27"/>
  <c r="AL27"/>
  <c r="AX27"/>
  <c r="BJ27"/>
  <c r="BP27"/>
  <c r="BR27"/>
  <c r="BV27"/>
  <c r="BY27"/>
  <c r="CC27"/>
  <c r="CJ27"/>
  <c r="CL27"/>
  <c r="CZ27"/>
  <c r="DM27"/>
  <c r="DP27"/>
  <c r="DQ27"/>
  <c r="DS27"/>
  <c r="DT27"/>
  <c r="DV27"/>
  <c r="DW27"/>
  <c r="DY27"/>
  <c r="DZ27"/>
  <c r="EC27"/>
  <c r="EH27"/>
  <c r="EI27"/>
  <c r="EO27"/>
  <c r="EQ27"/>
  <c r="ER27"/>
  <c r="EU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Q28"/>
  <c r="BV28"/>
  <c r="BY28"/>
  <c r="CC28"/>
  <c r="CF28"/>
  <c r="CG28"/>
  <c r="CJ28"/>
  <c r="CL28"/>
  <c r="CZ28"/>
  <c r="DB28"/>
  <c r="DC28" s="1"/>
  <c r="DM28"/>
  <c r="DO28" s="1"/>
  <c r="DP28"/>
  <c r="DQ28"/>
  <c r="DS28"/>
  <c r="DT28"/>
  <c r="DV28"/>
  <c r="DW28"/>
  <c r="DY28"/>
  <c r="DZ28"/>
  <c r="EC28"/>
  <c r="EF28"/>
  <c r="EK28"/>
  <c r="EO28"/>
  <c r="EQ28"/>
  <c r="ER28"/>
  <c r="ET28"/>
  <c r="EU28"/>
  <c r="M29"/>
  <c r="P29"/>
  <c r="S29"/>
  <c r="V29"/>
  <c r="AB29"/>
  <c r="AE29"/>
  <c r="AH29"/>
  <c r="BF29"/>
  <c r="CD29"/>
  <c r="CJ29"/>
  <c r="CM29"/>
  <c r="L29"/>
  <c r="O29"/>
  <c r="R29"/>
  <c r="U29"/>
  <c r="X29"/>
  <c r="Z29" s="1"/>
  <c r="AA29"/>
  <c r="AD29"/>
  <c r="AG29"/>
  <c r="AL29"/>
  <c r="AX29"/>
  <c r="BA29"/>
  <c r="BE29"/>
  <c r="BJ29"/>
  <c r="BP29"/>
  <c r="BQ29"/>
  <c r="BR29"/>
  <c r="BV29"/>
  <c r="BY29"/>
  <c r="CC29"/>
  <c r="CF29"/>
  <c r="CG29"/>
  <c r="CL29"/>
  <c r="CT29"/>
  <c r="CZ29"/>
  <c r="DM29"/>
  <c r="DO29" s="1"/>
  <c r="DP29"/>
  <c r="DS29"/>
  <c r="DT29"/>
  <c r="DV29"/>
  <c r="DW29"/>
  <c r="DZ29"/>
  <c r="EI29"/>
  <c r="EL29"/>
  <c r="EC29"/>
  <c r="EK29"/>
  <c r="EN29"/>
  <c r="EO29"/>
  <c r="EU29"/>
  <c r="BA30"/>
  <c r="AV31"/>
  <c r="AV35" s="1"/>
  <c r="AW31"/>
  <c r="BT31"/>
  <c r="BT35" s="1"/>
  <c r="BV31"/>
  <c r="BV35" s="1"/>
  <c r="BW31"/>
  <c r="BW35" s="1"/>
  <c r="BX31"/>
  <c r="BX33" s="1"/>
  <c r="BY31"/>
  <c r="CU31"/>
  <c r="CX31"/>
  <c r="CX35" s="1"/>
  <c r="CY31"/>
  <c r="DA31"/>
  <c r="DA33" s="1"/>
  <c r="DD31"/>
  <c r="DD35" s="1"/>
  <c r="G5" i="1"/>
  <c r="F6"/>
  <c r="G7"/>
  <c r="G11"/>
  <c r="D11" s="1"/>
  <c r="F17"/>
  <c r="G19"/>
  <c r="D19"/>
  <c r="C22"/>
  <c r="D22"/>
  <c r="E24"/>
  <c r="F24"/>
  <c r="F26"/>
  <c r="C26" s="1"/>
  <c r="G26"/>
  <c r="F29"/>
  <c r="F30"/>
  <c r="G30"/>
  <c r="F31"/>
  <c r="G31"/>
  <c r="E32"/>
  <c r="E33"/>
  <c r="G33"/>
  <c r="G34"/>
  <c r="G35"/>
  <c r="E36"/>
  <c r="F36"/>
  <c r="G36"/>
  <c r="F37"/>
  <c r="F39"/>
  <c r="C39" s="1"/>
  <c r="F40"/>
  <c r="C40" s="1"/>
  <c r="G40"/>
  <c r="D40" s="1"/>
  <c r="F41"/>
  <c r="G41"/>
  <c r="D25" i="8"/>
  <c r="C4" i="17"/>
  <c r="C4" i="15"/>
  <c r="E46" i="17"/>
  <c r="BW33" i="2"/>
  <c r="F5" i="16"/>
  <c r="E12" i="15"/>
  <c r="E20" i="14"/>
  <c r="F20"/>
  <c r="F12"/>
  <c r="BG23" i="2"/>
  <c r="F26" i="13"/>
  <c r="E26"/>
  <c r="E17"/>
  <c r="E12"/>
  <c r="F26" i="12"/>
  <c r="AO22" i="2"/>
  <c r="E26" i="12"/>
  <c r="E12"/>
  <c r="E17" i="11"/>
  <c r="F14"/>
  <c r="E14"/>
  <c r="E7"/>
  <c r="E31" i="10"/>
  <c r="E26"/>
  <c r="F17"/>
  <c r="E14"/>
  <c r="F5"/>
  <c r="F40" i="9"/>
  <c r="E26"/>
  <c r="F14"/>
  <c r="F5" i="8"/>
  <c r="F17" i="7"/>
  <c r="F7"/>
  <c r="F5"/>
  <c r="F37" i="5"/>
  <c r="F41"/>
  <c r="F26"/>
  <c r="F14"/>
  <c r="F26" i="4"/>
  <c r="E34" i="19"/>
  <c r="AO29" i="2"/>
  <c r="E40" i="18"/>
  <c r="F26"/>
  <c r="F14"/>
  <c r="E14"/>
  <c r="E12"/>
  <c r="E5"/>
  <c r="F26" i="17"/>
  <c r="AO27" i="2"/>
  <c r="E12" i="17"/>
  <c r="F12"/>
  <c r="F26" i="16"/>
  <c r="AO26" i="2"/>
  <c r="F43" i="3"/>
  <c r="F64" i="15"/>
  <c r="E7" i="19"/>
  <c r="E7" i="18"/>
  <c r="E17" i="17"/>
  <c r="E7"/>
  <c r="E17" i="16"/>
  <c r="E7" i="15"/>
  <c r="E5"/>
  <c r="E7" i="14"/>
  <c r="E14" i="12"/>
  <c r="F34" i="8"/>
  <c r="E34"/>
  <c r="F41" i="12"/>
  <c r="F61" i="19"/>
  <c r="D97" i="18"/>
  <c r="F57" i="17"/>
  <c r="F65" i="16"/>
  <c r="F79"/>
  <c r="E56" i="15"/>
  <c r="F56"/>
  <c r="E69" i="13"/>
  <c r="F74"/>
  <c r="E54"/>
  <c r="F54"/>
  <c r="F63" i="12"/>
  <c r="F55" i="11"/>
  <c r="F56" i="10"/>
  <c r="E89" i="9"/>
  <c r="F89"/>
  <c r="F55" i="7"/>
  <c r="F82" i="6"/>
  <c r="F56"/>
  <c r="F82" i="5"/>
  <c r="F57"/>
  <c r="G20" i="1"/>
  <c r="H20" s="1"/>
  <c r="F75" i="11"/>
  <c r="F14" i="8"/>
  <c r="E14"/>
  <c r="E37" i="5"/>
  <c r="D4" i="4"/>
  <c r="AU29" i="2"/>
  <c r="BC31"/>
  <c r="DO17"/>
  <c r="D25" i="19"/>
  <c r="F34"/>
  <c r="E31" i="17"/>
  <c r="ER26" i="2"/>
  <c r="F17" i="11"/>
  <c r="E81" i="10"/>
  <c r="F7" i="8"/>
  <c r="E37" i="6"/>
  <c r="F38"/>
  <c r="F5"/>
  <c r="BR14" i="2"/>
  <c r="BS14" s="1"/>
  <c r="T23"/>
  <c r="W15"/>
  <c r="K17"/>
  <c r="D4" i="19"/>
  <c r="F17" i="17"/>
  <c r="F5"/>
  <c r="E12" i="16"/>
  <c r="F29"/>
  <c r="F17"/>
  <c r="F30" i="5"/>
  <c r="F17" i="4"/>
  <c r="DR14" i="2"/>
  <c r="DR22"/>
  <c r="DX19"/>
  <c r="E41" i="14"/>
  <c r="F7" i="19"/>
  <c r="F17" i="18"/>
  <c r="F7"/>
  <c r="F5"/>
  <c r="E26" i="17"/>
  <c r="E5"/>
  <c r="F11" i="1"/>
  <c r="C11" s="1"/>
  <c r="F83" i="10"/>
  <c r="F66"/>
  <c r="F65" i="7"/>
  <c r="E93" i="18"/>
  <c r="F93" i="15"/>
  <c r="F93" i="18"/>
  <c r="E80" i="15"/>
  <c r="C4" i="14"/>
  <c r="F5" i="12"/>
  <c r="EL20" i="2"/>
  <c r="EM20" s="1"/>
  <c r="E66" i="6"/>
  <c r="F37" i="7"/>
  <c r="E29" i="10"/>
  <c r="F37" i="11"/>
  <c r="E37" i="12"/>
  <c r="E91" i="13"/>
  <c r="E17" i="14"/>
  <c r="E5"/>
  <c r="E34" i="15"/>
  <c r="F34"/>
  <c r="AF29" i="2"/>
  <c r="D4" i="11"/>
  <c r="EP17" i="2"/>
  <c r="E56" i="6"/>
  <c r="BO16" i="2"/>
  <c r="BP16" s="1"/>
  <c r="E35" i="6"/>
  <c r="DN31" i="2"/>
  <c r="DN35" s="1"/>
  <c r="F29" i="7"/>
  <c r="Q22" i="2"/>
  <c r="E7" i="12"/>
  <c r="E29" i="1"/>
  <c r="E31" i="15"/>
  <c r="F66" i="14"/>
  <c r="E41" i="12"/>
  <c r="CK28" i="2"/>
  <c r="E36" i="18"/>
  <c r="F34" i="1"/>
  <c r="C34" s="1"/>
  <c r="F21"/>
  <c r="F68" i="3"/>
  <c r="F17" i="14"/>
  <c r="BG22" i="2"/>
  <c r="E37" i="11"/>
  <c r="F20" i="8"/>
  <c r="F79" i="7"/>
  <c r="F81"/>
  <c r="E34"/>
  <c r="F95" i="6"/>
  <c r="BN15" i="2"/>
  <c r="F35" i="5"/>
  <c r="E37" i="7"/>
  <c r="F29" i="12"/>
  <c r="E82" i="14"/>
  <c r="E81" i="16"/>
  <c r="F31" i="17"/>
  <c r="E20" i="18"/>
  <c r="BO22" i="2"/>
  <c r="BP22" s="1"/>
  <c r="AV33"/>
  <c r="D25" i="18"/>
  <c r="F34" i="9"/>
  <c r="E34"/>
  <c r="E29" i="14"/>
  <c r="D4" i="13"/>
  <c r="D25" i="10"/>
  <c r="D25" i="9"/>
  <c r="BN28" i="2"/>
  <c r="CE24"/>
  <c r="CA20"/>
  <c r="T22"/>
  <c r="DJ16"/>
  <c r="AI23"/>
  <c r="AR20"/>
  <c r="K27"/>
  <c r="AR24"/>
  <c r="EP29"/>
  <c r="CH18"/>
  <c r="CH27"/>
  <c r="Z14"/>
  <c r="K26"/>
  <c r="K14"/>
  <c r="BA22"/>
  <c r="BG19"/>
  <c r="W18"/>
  <c r="EA17"/>
  <c r="CK21"/>
  <c r="AC24"/>
  <c r="G37" i="1"/>
  <c r="F122" i="3"/>
  <c r="G29" i="1"/>
  <c r="F46" i="3"/>
  <c r="G17" i="1"/>
  <c r="F16"/>
  <c r="C16" s="1"/>
  <c r="F33" i="3"/>
  <c r="E33"/>
  <c r="E23"/>
  <c r="G12" i="1"/>
  <c r="F23" i="3"/>
  <c r="BT33" i="2"/>
  <c r="F12" i="3"/>
  <c r="AS19" i="2"/>
  <c r="AU19" s="1"/>
  <c r="F26" i="9"/>
  <c r="E36" i="10"/>
  <c r="BR20" i="2"/>
  <c r="AZ25"/>
  <c r="F29" i="15"/>
  <c r="D25"/>
  <c r="E29"/>
  <c r="F20"/>
  <c r="E20"/>
  <c r="E14"/>
  <c r="F86" i="16"/>
  <c r="E37"/>
  <c r="C36"/>
  <c r="BQ26" i="2" s="1"/>
  <c r="F14" i="16"/>
  <c r="AP29" i="2"/>
  <c r="C25" i="19"/>
  <c r="F25" s="1"/>
  <c r="E26"/>
  <c r="G6" i="1"/>
  <c r="H6" s="1"/>
  <c r="E107" i="3"/>
  <c r="F107"/>
  <c r="F33" i="1"/>
  <c r="K16" i="2"/>
  <c r="CT28"/>
  <c r="E71" i="11"/>
  <c r="E57" i="12"/>
  <c r="F57"/>
  <c r="C55"/>
  <c r="E55" s="1"/>
  <c r="DM22" i="2"/>
  <c r="DO22" s="1"/>
  <c r="F77" i="14"/>
  <c r="C76"/>
  <c r="EH24" i="2" s="1"/>
  <c r="EJ24" s="1"/>
  <c r="E77" i="14"/>
  <c r="F79" i="15"/>
  <c r="C76"/>
  <c r="EH25" i="2" s="1"/>
  <c r="EJ25" s="1"/>
  <c r="E79" i="15"/>
  <c r="F72" i="18"/>
  <c r="E72"/>
  <c r="C68" i="19"/>
  <c r="E68" s="1"/>
  <c r="F71"/>
  <c r="E71"/>
  <c r="AQ31" i="2"/>
  <c r="AQ33" s="1"/>
  <c r="F37" i="16"/>
  <c r="CK29" i="2"/>
  <c r="F26" i="19"/>
  <c r="E51" i="3"/>
  <c r="AR17" i="2"/>
  <c r="BC33"/>
  <c r="DK18"/>
  <c r="D4" i="15"/>
  <c r="E4" s="1"/>
  <c r="Z22" i="2"/>
  <c r="CE14"/>
  <c r="F111" i="3"/>
  <c r="E111"/>
  <c r="EO15" i="2"/>
  <c r="F85" i="5"/>
  <c r="E67"/>
  <c r="EB15" i="2"/>
  <c r="F67" i="5"/>
  <c r="E20"/>
  <c r="F20"/>
  <c r="E20" i="6"/>
  <c r="F20"/>
  <c r="F86" i="7"/>
  <c r="E88" i="8"/>
  <c r="ER18" i="2"/>
  <c r="DA35"/>
  <c r="DK25"/>
  <c r="E31" i="9"/>
  <c r="F31"/>
  <c r="F20"/>
  <c r="E20"/>
  <c r="C4"/>
  <c r="E20" i="10"/>
  <c r="F20"/>
  <c r="C25" i="15"/>
  <c r="F26"/>
  <c r="F12" i="16"/>
  <c r="D4"/>
  <c r="E7" i="13"/>
  <c r="F7"/>
  <c r="C4"/>
  <c r="CQ20" i="2"/>
  <c r="CO31"/>
  <c r="CO35" s="1"/>
  <c r="F102" i="3"/>
  <c r="E102"/>
  <c r="G32" i="1"/>
  <c r="D141" i="3"/>
  <c r="E94" i="8"/>
  <c r="EU18" i="2"/>
  <c r="EV18" s="1"/>
  <c r="E40" i="11"/>
  <c r="F40"/>
  <c r="E40" i="8"/>
  <c r="F40"/>
  <c r="F56" i="9"/>
  <c r="EQ14" i="2"/>
  <c r="E83" i="4"/>
  <c r="E7" i="16"/>
  <c r="F7"/>
  <c r="E127" i="3"/>
  <c r="G38" i="1"/>
  <c r="D9"/>
  <c r="F37" i="12"/>
  <c r="BR22" i="2"/>
  <c r="BS22" s="1"/>
  <c r="E26" i="7"/>
  <c r="F26"/>
  <c r="E41" i="15"/>
  <c r="F41"/>
  <c r="E55" i="16"/>
  <c r="D96"/>
  <c r="ER25" i="2"/>
  <c r="ES25" s="1"/>
  <c r="E87" i="15"/>
  <c r="AR22" i="2"/>
  <c r="K29"/>
  <c r="EC18"/>
  <c r="ED18" s="1"/>
  <c r="E66" i="8"/>
  <c r="E87" i="14"/>
  <c r="ER24" i="2"/>
  <c r="ES24" s="1"/>
  <c r="E34" i="18"/>
  <c r="F12" i="6"/>
  <c r="CP31" i="2"/>
  <c r="CP35" s="1"/>
  <c r="F36" i="10"/>
  <c r="C4" i="4"/>
  <c r="F76" i="10"/>
  <c r="E5" i="19"/>
  <c r="E38" i="17"/>
  <c r="BZ21" i="2"/>
  <c r="AC18"/>
  <c r="E20" i="4"/>
  <c r="F20"/>
  <c r="EL15" i="2"/>
  <c r="EM15" s="1"/>
  <c r="E82" i="5"/>
  <c r="D100"/>
  <c r="F84" i="6"/>
  <c r="EN16" i="2"/>
  <c r="EP16" s="1"/>
  <c r="E41" i="6"/>
  <c r="F41"/>
  <c r="F37"/>
  <c r="BQ16" i="2"/>
  <c r="F16" s="1"/>
  <c r="E17" i="6"/>
  <c r="F17"/>
  <c r="C4"/>
  <c r="E5"/>
  <c r="ET17" i="2"/>
  <c r="F92" i="7"/>
  <c r="E86"/>
  <c r="EQ17" i="2"/>
  <c r="ES17" s="1"/>
  <c r="C4" i="7"/>
  <c r="F66" i="8"/>
  <c r="EB24" i="2"/>
  <c r="E66" i="14"/>
  <c r="BS24" i="2"/>
  <c r="F37" i="14"/>
  <c r="F35" s="1"/>
  <c r="F34" s="1"/>
  <c r="E37"/>
  <c r="E35" s="1"/>
  <c r="E34" s="1"/>
  <c r="E26"/>
  <c r="F26"/>
  <c r="CY33" i="2"/>
  <c r="CY35"/>
  <c r="CU35"/>
  <c r="CU33"/>
  <c r="CK17"/>
  <c r="E78" i="6"/>
  <c r="EI16" i="2"/>
  <c r="EJ16" s="1"/>
  <c r="F78" i="6"/>
  <c r="F32"/>
  <c r="E32"/>
  <c r="C25" i="17"/>
  <c r="C37" s="1"/>
  <c r="C52" s="1"/>
  <c r="BQ27" i="2"/>
  <c r="BS27" s="1"/>
  <c r="H33" i="1"/>
  <c r="E16" i="3"/>
  <c r="F9" i="1"/>
  <c r="H9" s="1"/>
  <c r="F89" i="4"/>
  <c r="EU14" i="2"/>
  <c r="EV14" s="1"/>
  <c r="E89" i="4"/>
  <c r="D93"/>
  <c r="EF16" i="2"/>
  <c r="E5" i="8"/>
  <c r="C4"/>
  <c r="E92" i="11"/>
  <c r="F92"/>
  <c r="D25"/>
  <c r="D25" i="12"/>
  <c r="F20" i="13"/>
  <c r="E20"/>
  <c r="F94" i="17"/>
  <c r="ET27" i="2"/>
  <c r="EV27" s="1"/>
  <c r="BY35"/>
  <c r="BY33"/>
  <c r="AC15"/>
  <c r="E82" i="6"/>
  <c r="EL16" i="2"/>
  <c r="F66" i="6"/>
  <c r="E92" i="7"/>
  <c r="EU17" i="2"/>
  <c r="EL18"/>
  <c r="F84" i="9"/>
  <c r="E84"/>
  <c r="E76"/>
  <c r="E83" i="10"/>
  <c r="F91" i="13"/>
  <c r="F31" i="15"/>
  <c r="F17"/>
  <c r="E17"/>
  <c r="E77" i="17"/>
  <c r="F77"/>
  <c r="DO23" i="2"/>
  <c r="BA20"/>
  <c r="W28"/>
  <c r="AO16"/>
  <c r="E17" i="4"/>
  <c r="BO15" i="2"/>
  <c r="BP15" s="1"/>
  <c r="E35" i="5"/>
  <c r="E89" i="6"/>
  <c r="E64" i="9"/>
  <c r="F64"/>
  <c r="F36"/>
  <c r="BR19" i="2"/>
  <c r="BS19" s="1"/>
  <c r="E17" i="10"/>
  <c r="D4"/>
  <c r="D39" s="1"/>
  <c r="F81" i="11"/>
  <c r="EO21" i="2"/>
  <c r="EP21" s="1"/>
  <c r="E90" i="5"/>
  <c r="D25" i="6"/>
  <c r="F25" s="1"/>
  <c r="E20" i="7"/>
  <c r="E74" i="9"/>
  <c r="E7"/>
  <c r="F29" i="10"/>
  <c r="E86" i="11"/>
  <c r="F73"/>
  <c r="E87" i="12"/>
  <c r="C25"/>
  <c r="F12"/>
  <c r="E82" i="15"/>
  <c r="F82"/>
  <c r="E86" i="16"/>
  <c r="F31"/>
  <c r="E29"/>
  <c r="E90" i="19"/>
  <c r="E77"/>
  <c r="F29"/>
  <c r="E29"/>
  <c r="E12" i="4"/>
  <c r="E80" i="12"/>
  <c r="E7" i="10"/>
  <c r="E71" i="9"/>
  <c r="F72" i="3"/>
  <c r="E72"/>
  <c r="E26" i="16"/>
  <c r="AK22" i="2"/>
  <c r="G22" s="1"/>
  <c r="E20" i="12"/>
  <c r="E29"/>
  <c r="BA27" i="2"/>
  <c r="E75" i="12"/>
  <c r="F73" i="17"/>
  <c r="C72"/>
  <c r="EE27" i="2" s="1"/>
  <c r="EG27" s="1"/>
  <c r="E73" i="17"/>
  <c r="F78" i="13"/>
  <c r="E78"/>
  <c r="E17" i="8"/>
  <c r="E12" i="10"/>
  <c r="F85" i="13"/>
  <c r="E31" i="14"/>
  <c r="E93" i="15"/>
  <c r="F92" i="16"/>
  <c r="E94" i="17"/>
  <c r="F88"/>
  <c r="E34"/>
  <c r="E82" i="18"/>
  <c r="F84" i="19"/>
  <c r="F31"/>
  <c r="E66" i="18"/>
  <c r="F31"/>
  <c r="F76" i="12"/>
  <c r="E7" i="4"/>
  <c r="F68" i="19"/>
  <c r="EE29" i="2"/>
  <c r="ED15"/>
  <c r="E36" i="16"/>
  <c r="F19" i="2"/>
  <c r="E4" i="13"/>
  <c r="E76" i="14"/>
  <c r="ES14" i="2"/>
  <c r="E76" i="15"/>
  <c r="DX14" i="2"/>
  <c r="F34" i="4"/>
  <c r="F31"/>
  <c r="F14"/>
  <c r="F80" i="14"/>
  <c r="F76"/>
  <c r="D97"/>
  <c r="DJ24" i="2"/>
  <c r="F95" i="12"/>
  <c r="AR21" i="2"/>
  <c r="CN21"/>
  <c r="C4" i="11"/>
  <c r="DJ19" i="2"/>
  <c r="ES18"/>
  <c r="D97" i="8"/>
  <c r="EE18" i="2"/>
  <c r="C97" i="8"/>
  <c r="E71"/>
  <c r="EH18" i="2"/>
  <c r="EJ18" s="1"/>
  <c r="E76" i="8"/>
  <c r="F76"/>
  <c r="E79"/>
  <c r="F80"/>
  <c r="F56"/>
  <c r="F71"/>
  <c r="E56"/>
  <c r="F79"/>
  <c r="E73"/>
  <c r="BP18" i="2"/>
  <c r="AD31"/>
  <c r="I10" i="1" s="1"/>
  <c r="F7" i="6"/>
  <c r="AO15" i="2"/>
  <c r="CS35"/>
  <c r="DD33"/>
  <c r="DK22"/>
  <c r="DU19"/>
  <c r="D95" i="13"/>
  <c r="F64" i="14"/>
  <c r="E64"/>
  <c r="E95" i="3"/>
  <c r="C25" i="4"/>
  <c r="C25" i="6"/>
  <c r="DZ18" i="2"/>
  <c r="EA18" s="1"/>
  <c r="E97" i="9"/>
  <c r="D96" i="11"/>
  <c r="E64" i="13"/>
  <c r="F64"/>
  <c r="DK17" i="2"/>
  <c r="E12" i="19"/>
  <c r="E34" i="16"/>
  <c r="F135" i="3"/>
  <c r="E122"/>
  <c r="H36" i="1"/>
  <c r="E40" i="16"/>
  <c r="CX33" i="2"/>
  <c r="W25"/>
  <c r="N22"/>
  <c r="CH19"/>
  <c r="T18"/>
  <c r="AI17"/>
  <c r="AF16"/>
  <c r="AC16"/>
  <c r="W16"/>
  <c r="CC20"/>
  <c r="CE20" s="1"/>
  <c r="CE15"/>
  <c r="ES20"/>
  <c r="BZ19"/>
  <c r="DK19"/>
  <c r="CN16"/>
  <c r="AI16"/>
  <c r="AF15"/>
  <c r="DR15"/>
  <c r="CA29"/>
  <c r="W29"/>
  <c r="AI28"/>
  <c r="CE27"/>
  <c r="BZ27"/>
  <c r="N27"/>
  <c r="CE28"/>
  <c r="N28"/>
  <c r="ED17"/>
  <c r="E37" i="1"/>
  <c r="CF31" i="2"/>
  <c r="CF35" s="1"/>
  <c r="E38" i="1"/>
  <c r="E31"/>
  <c r="F7" i="3"/>
  <c r="H24" i="1"/>
  <c r="H18"/>
  <c r="E46" i="3"/>
  <c r="CN15" i="2"/>
  <c r="M31"/>
  <c r="M33" s="1"/>
  <c r="F5" i="4"/>
  <c r="EA28" i="2"/>
  <c r="DX27"/>
  <c r="AF27"/>
  <c r="W27"/>
  <c r="Q27"/>
  <c r="EM26"/>
  <c r="E79" i="16"/>
  <c r="D25"/>
  <c r="EM25" i="2"/>
  <c r="F80" i="15"/>
  <c r="DX25" i="2"/>
  <c r="CE25"/>
  <c r="EV25"/>
  <c r="EP25"/>
  <c r="ED25"/>
  <c r="EA25"/>
  <c r="CH25"/>
  <c r="CA24"/>
  <c r="BA24"/>
  <c r="EA23"/>
  <c r="F62" i="13"/>
  <c r="F31"/>
  <c r="AZ23" i="2"/>
  <c r="BA23" s="1"/>
  <c r="CH23"/>
  <c r="ED23"/>
  <c r="P31"/>
  <c r="P33" s="1"/>
  <c r="D97" i="12"/>
  <c r="F65"/>
  <c r="E76"/>
  <c r="C70"/>
  <c r="F70" s="1"/>
  <c r="F80"/>
  <c r="E65"/>
  <c r="EJ22" i="2"/>
  <c r="EP22"/>
  <c r="CH22"/>
  <c r="E66" i="10"/>
  <c r="E64"/>
  <c r="CA19" i="2"/>
  <c r="Q19"/>
  <c r="D32" i="3"/>
  <c r="C100" i="5"/>
  <c r="E4" i="4"/>
  <c r="EP15" i="2"/>
  <c r="F4" i="15"/>
  <c r="F55" i="12"/>
  <c r="C97"/>
  <c r="F97" s="1"/>
  <c r="D37" i="19"/>
  <c r="CN29" i="2"/>
  <c r="BZ29"/>
  <c r="AC29"/>
  <c r="G29"/>
  <c r="BZ28"/>
  <c r="Z28"/>
  <c r="F28"/>
  <c r="T26"/>
  <c r="N26"/>
  <c r="Z25"/>
  <c r="Z21"/>
  <c r="L31"/>
  <c r="L35" s="1"/>
  <c r="V31"/>
  <c r="V35" s="1"/>
  <c r="AF20"/>
  <c r="CB19"/>
  <c r="ED16"/>
  <c r="F4" i="4"/>
  <c r="CA26" i="2"/>
  <c r="DP31"/>
  <c r="DP35" s="1"/>
  <c r="BN31"/>
  <c r="I20" i="1" s="1"/>
  <c r="C20" s="1"/>
  <c r="DX28" i="2"/>
  <c r="AJ31"/>
  <c r="AJ35" s="1"/>
  <c r="F97" i="8"/>
  <c r="CP33" i="2"/>
  <c r="C40" i="6"/>
  <c r="C51" s="1"/>
  <c r="AQ35" i="2"/>
  <c r="F76" i="15"/>
  <c r="DJ22" i="2"/>
  <c r="CA28"/>
  <c r="CB28" s="1"/>
  <c r="AR29"/>
  <c r="F29"/>
  <c r="AP31"/>
  <c r="AP33" s="1"/>
  <c r="C25" i="16"/>
  <c r="F25" s="1"/>
  <c r="F36"/>
  <c r="W21" i="2"/>
  <c r="AF21"/>
  <c r="F4" i="11"/>
  <c r="DJ25" i="2"/>
  <c r="BC35"/>
  <c r="D26" i="1"/>
  <c r="H26"/>
  <c r="CL31" i="2"/>
  <c r="CL33" s="1"/>
  <c r="BZ24"/>
  <c r="Z24"/>
  <c r="F24"/>
  <c r="T24"/>
  <c r="N24"/>
  <c r="O31"/>
  <c r="O35" s="1"/>
  <c r="CK23"/>
  <c r="AW35"/>
  <c r="AW33"/>
  <c r="AF28"/>
  <c r="N21"/>
  <c r="ES16"/>
  <c r="E26" i="18"/>
  <c r="C4" i="5"/>
  <c r="C25"/>
  <c r="EF15" i="2"/>
  <c r="E29" i="4"/>
  <c r="C4" i="16"/>
  <c r="E4" s="1"/>
  <c r="F87" i="18"/>
  <c r="E84" i="19"/>
  <c r="F17"/>
  <c r="E97" i="3"/>
  <c r="D4"/>
  <c r="D71" s="1"/>
  <c r="D82" s="1"/>
  <c r="E63" i="16"/>
  <c r="BO26" i="2"/>
  <c r="BP26" s="1"/>
  <c r="F34" i="16"/>
  <c r="F40" i="10"/>
  <c r="C38" i="19"/>
  <c r="E38" s="1"/>
  <c r="F39"/>
  <c r="E70" i="12"/>
  <c r="AP35" i="2"/>
  <c r="BN35"/>
  <c r="D48" i="19"/>
  <c r="D35" i="1"/>
  <c r="DU29" i="2"/>
  <c r="DK29"/>
  <c r="CK27"/>
  <c r="CA27"/>
  <c r="AC23"/>
  <c r="F23"/>
  <c r="J25" i="1"/>
  <c r="D25" s="1"/>
  <c r="CS33" i="2"/>
  <c r="AL18"/>
  <c r="AI18"/>
  <c r="DQ31"/>
  <c r="DQ33" s="1"/>
  <c r="DK15"/>
  <c r="DJ15"/>
  <c r="DO15"/>
  <c r="D34" i="1"/>
  <c r="E34" s="1"/>
  <c r="H34"/>
  <c r="AF25" i="2"/>
  <c r="CN23"/>
  <c r="BZ23"/>
  <c r="AN31"/>
  <c r="AN33" s="1"/>
  <c r="G16"/>
  <c r="EV15"/>
  <c r="AU14"/>
  <c r="Q24"/>
  <c r="DK23"/>
  <c r="T21"/>
  <c r="DJ18"/>
  <c r="BZ18"/>
  <c r="DT31"/>
  <c r="DT33" s="1"/>
  <c r="AG31"/>
  <c r="I12" i="1" s="1"/>
  <c r="C12" s="1"/>
  <c r="AA31" i="2"/>
  <c r="AA35" s="1"/>
  <c r="DO18"/>
  <c r="Z20"/>
  <c r="Z16"/>
  <c r="AR31"/>
  <c r="BZ22"/>
  <c r="CJ31"/>
  <c r="CJ35" s="1"/>
  <c r="G20"/>
  <c r="D20" s="1"/>
  <c r="DM31"/>
  <c r="DM35" s="1"/>
  <c r="CA25"/>
  <c r="DR28"/>
  <c r="G21"/>
  <c r="EA21"/>
  <c r="DR29"/>
  <c r="BZ20"/>
  <c r="CB20" s="1"/>
  <c r="BZ16"/>
  <c r="CA16"/>
  <c r="DJ20"/>
  <c r="DJ26"/>
  <c r="CE18"/>
  <c r="AS31"/>
  <c r="AS35" s="1"/>
  <c r="CT20"/>
  <c r="F14"/>
  <c r="BZ17"/>
  <c r="F20"/>
  <c r="DU16"/>
  <c r="DU15"/>
  <c r="AI29"/>
  <c r="Q29"/>
  <c r="CN27"/>
  <c r="AI27"/>
  <c r="W26"/>
  <c r="BZ25"/>
  <c r="N25"/>
  <c r="DK24"/>
  <c r="AI24"/>
  <c r="AF22"/>
  <c r="W22"/>
  <c r="DV31"/>
  <c r="DV33" s="1"/>
  <c r="I31"/>
  <c r="I35" s="1"/>
  <c r="CA15"/>
  <c r="CA14"/>
  <c r="AS33"/>
  <c r="DL18"/>
  <c r="AN35"/>
  <c r="DQ35"/>
  <c r="DR31"/>
  <c r="DR33" s="1"/>
  <c r="AF14"/>
  <c r="AE31"/>
  <c r="AE35" s="1"/>
  <c r="BF15"/>
  <c r="BG15" s="1"/>
  <c r="D4" i="5"/>
  <c r="F4" s="1"/>
  <c r="J31" i="2"/>
  <c r="J33" s="1"/>
  <c r="E32" i="5"/>
  <c r="C93" i="4"/>
  <c r="F93" s="1"/>
  <c r="BI33" i="2"/>
  <c r="BI35"/>
  <c r="AC22"/>
  <c r="BZ26"/>
  <c r="DU18" l="1"/>
  <c r="CH14"/>
  <c r="BS15"/>
  <c r="F38" i="19"/>
  <c r="AL22" i="2"/>
  <c r="EV17"/>
  <c r="ES27"/>
  <c r="W24"/>
  <c r="EP14"/>
  <c r="F30" i="6"/>
  <c r="CL35" i="2"/>
  <c r="DV35"/>
  <c r="AI25"/>
  <c r="DU24"/>
  <c r="F127" i="3"/>
  <c r="F81" i="10"/>
  <c r="C23" i="2"/>
  <c r="DP33"/>
  <c r="AG33"/>
  <c r="DL15"/>
  <c r="E97" i="12"/>
  <c r="C24" i="2"/>
  <c r="DL19"/>
  <c r="DL24"/>
  <c r="E25" i="15"/>
  <c r="AC26" i="2"/>
  <c r="BL35"/>
  <c r="BL33"/>
  <c r="BP24"/>
  <c r="G24"/>
  <c r="H24" s="1"/>
  <c r="D16"/>
  <c r="E93" i="4"/>
  <c r="CJ33" i="2"/>
  <c r="DT35"/>
  <c r="AD35"/>
  <c r="C9" i="1"/>
  <c r="E9" s="1"/>
  <c r="AK31" i="2"/>
  <c r="AL31" s="1"/>
  <c r="BN33"/>
  <c r="C39" i="16"/>
  <c r="C50" s="1"/>
  <c r="EE22" i="2"/>
  <c r="EG22" s="1"/>
  <c r="E25" i="6"/>
  <c r="D29" i="2"/>
  <c r="CB29"/>
  <c r="E100" i="5"/>
  <c r="C37" i="4"/>
  <c r="E97" i="8"/>
  <c r="E72" i="17"/>
  <c r="F25" i="12"/>
  <c r="F4" i="13"/>
  <c r="AX31" i="2"/>
  <c r="BS29"/>
  <c r="BG29"/>
  <c r="EA26"/>
  <c r="DX26"/>
  <c r="DK26"/>
  <c r="DL26" s="1"/>
  <c r="AI26"/>
  <c r="DU23"/>
  <c r="Q21"/>
  <c r="AI21"/>
  <c r="Q18"/>
  <c r="DU17"/>
  <c r="X31"/>
  <c r="R31"/>
  <c r="EA16"/>
  <c r="CE16"/>
  <c r="Q16"/>
  <c r="DH15"/>
  <c r="E85" i="5"/>
  <c r="F15" i="2"/>
  <c r="F64" i="6"/>
  <c r="F35"/>
  <c r="E29" i="7"/>
  <c r="E17"/>
  <c r="F64" i="8"/>
  <c r="E31"/>
  <c r="F29" i="11"/>
  <c r="E82" i="12"/>
  <c r="EM24" i="2"/>
  <c r="D25" i="14"/>
  <c r="F82" i="18"/>
  <c r="F36"/>
  <c r="F20"/>
  <c r="D4"/>
  <c r="D39" s="1"/>
  <c r="E60" i="4"/>
  <c r="F40" i="18"/>
  <c r="F4" i="16"/>
  <c r="AC25" i="2"/>
  <c r="S31"/>
  <c r="S33" s="1"/>
  <c r="F87" i="15"/>
  <c r="CQ31" i="2"/>
  <c r="C29"/>
  <c r="D24"/>
  <c r="E24" s="1"/>
  <c r="H32" i="1"/>
  <c r="H30"/>
  <c r="E135" i="3"/>
  <c r="H12" i="1"/>
  <c r="DN33" i="2"/>
  <c r="D97" i="15"/>
  <c r="DH25" i="2"/>
  <c r="F25" i="15"/>
  <c r="G25" i="2"/>
  <c r="D25" s="1"/>
  <c r="D40" i="15"/>
  <c r="D51" s="1"/>
  <c r="D52" s="1"/>
  <c r="DH24" i="2"/>
  <c r="E80" i="14"/>
  <c r="G27" i="2"/>
  <c r="D27" s="1"/>
  <c r="N31"/>
  <c r="D39" i="11"/>
  <c r="D50" s="1"/>
  <c r="D51" s="1"/>
  <c r="J6" i="1"/>
  <c r="D6" s="1"/>
  <c r="CG31" i="2"/>
  <c r="CG35" s="1"/>
  <c r="CM31"/>
  <c r="CM35" s="1"/>
  <c r="AB31"/>
  <c r="AB33" s="1"/>
  <c r="EE17"/>
  <c r="F70" i="7"/>
  <c r="CM33" i="2"/>
  <c r="X33"/>
  <c r="I7" i="1"/>
  <c r="X35" i="2"/>
  <c r="R35"/>
  <c r="R33"/>
  <c r="I8" i="1"/>
  <c r="C8" s="1"/>
  <c r="J10"/>
  <c r="D10" s="1"/>
  <c r="DO31" i="2"/>
  <c r="M35"/>
  <c r="DM33"/>
  <c r="AA33"/>
  <c r="Q31"/>
  <c r="L33"/>
  <c r="O33"/>
  <c r="EK17"/>
  <c r="EM17" s="1"/>
  <c r="N17"/>
  <c r="H16"/>
  <c r="BS26"/>
  <c r="F26"/>
  <c r="C26" s="1"/>
  <c r="EG29"/>
  <c r="DH29"/>
  <c r="EX29" s="1"/>
  <c r="DG22"/>
  <c r="ED22"/>
  <c r="C16"/>
  <c r="E16" s="1"/>
  <c r="EM29"/>
  <c r="BZ14"/>
  <c r="C14" s="1"/>
  <c r="F90" i="5"/>
  <c r="EP19" i="2"/>
  <c r="F20" i="12"/>
  <c r="F34" i="7"/>
  <c r="T31" i="2"/>
  <c r="P35"/>
  <c r="AG35"/>
  <c r="I5" i="1"/>
  <c r="C20" i="2"/>
  <c r="I6" i="1"/>
  <c r="C6" s="1"/>
  <c r="CB27" i="2"/>
  <c r="G26"/>
  <c r="D26" s="1"/>
  <c r="V33"/>
  <c r="E25" i="16"/>
  <c r="S35" i="2"/>
  <c r="DL22"/>
  <c r="BS16"/>
  <c r="C28"/>
  <c r="CC31"/>
  <c r="CC35" s="1"/>
  <c r="C19"/>
  <c r="E25" i="12"/>
  <c r="C40" i="15"/>
  <c r="H37" i="1"/>
  <c r="BV33" i="2"/>
  <c r="CZ31"/>
  <c r="DB31"/>
  <c r="H31" i="1"/>
  <c r="BX35" i="2"/>
  <c r="T29"/>
  <c r="EV28"/>
  <c r="AC28"/>
  <c r="T27"/>
  <c r="EP26"/>
  <c r="DX24"/>
  <c r="DX23"/>
  <c r="DR23"/>
  <c r="W23"/>
  <c r="CE22"/>
  <c r="DX21"/>
  <c r="BG21"/>
  <c r="AI20"/>
  <c r="W20"/>
  <c r="Q20"/>
  <c r="N20"/>
  <c r="CN19"/>
  <c r="AM31"/>
  <c r="AI19"/>
  <c r="AC19"/>
  <c r="DX18"/>
  <c r="DX17"/>
  <c r="CA17"/>
  <c r="CB17" s="1"/>
  <c r="CE17"/>
  <c r="AC17"/>
  <c r="T17"/>
  <c r="T16"/>
  <c r="N16"/>
  <c r="Q15"/>
  <c r="N15"/>
  <c r="EG14"/>
  <c r="DJ14"/>
  <c r="CN14"/>
  <c r="AI14"/>
  <c r="E43" i="3"/>
  <c r="F29" i="4"/>
  <c r="E5"/>
  <c r="E57" i="5"/>
  <c r="D25"/>
  <c r="E25" s="1"/>
  <c r="E30" i="6"/>
  <c r="E5" i="7"/>
  <c r="AT18" i="2"/>
  <c r="G18" s="1"/>
  <c r="E20" i="8"/>
  <c r="E12"/>
  <c r="E14" i="9"/>
  <c r="F31" i="10"/>
  <c r="F26"/>
  <c r="F86" i="11"/>
  <c r="E29"/>
  <c r="F31" i="14"/>
  <c r="E92" i="16"/>
  <c r="F83" i="17"/>
  <c r="E57"/>
  <c r="E20"/>
  <c r="E87" i="18"/>
  <c r="ES29" i="2"/>
  <c r="F77" i="19"/>
  <c r="F20"/>
  <c r="H38" i="1"/>
  <c r="AZ31" i="2"/>
  <c r="BG27"/>
  <c r="BE31"/>
  <c r="F27"/>
  <c r="H15" i="1"/>
  <c r="E36" i="7"/>
  <c r="F36"/>
  <c r="BQ17" i="2"/>
  <c r="BS17" s="1"/>
  <c r="C51" i="15"/>
  <c r="E40"/>
  <c r="F40"/>
  <c r="DH22" i="2"/>
  <c r="DI22" s="1"/>
  <c r="DZ31"/>
  <c r="BM31"/>
  <c r="BK35"/>
  <c r="BK33"/>
  <c r="E4" i="5"/>
  <c r="AE33" i="2"/>
  <c r="I33"/>
  <c r="BP28"/>
  <c r="EV26"/>
  <c r="ED26"/>
  <c r="DJ23"/>
  <c r="DL23" s="1"/>
  <c r="AF17"/>
  <c r="CH16"/>
  <c r="EA15"/>
  <c r="CQ15"/>
  <c r="BZ15"/>
  <c r="EJ14"/>
  <c r="E64" i="8"/>
  <c r="C25" i="9"/>
  <c r="F25" s="1"/>
  <c r="F88" i="10"/>
  <c r="F14"/>
  <c r="F82" i="12"/>
  <c r="F5" i="13"/>
  <c r="F82" i="14"/>
  <c r="E26" i="15"/>
  <c r="F12"/>
  <c r="E31" i="16"/>
  <c r="F20" i="17"/>
  <c r="F64" i="18"/>
  <c r="E20" i="19"/>
  <c r="Z26" i="2"/>
  <c r="F16" i="3"/>
  <c r="E62" i="13"/>
  <c r="F40" i="16"/>
  <c r="E40" i="10"/>
  <c r="E26" i="1"/>
  <c r="EM16" i="2"/>
  <c r="D39" i="16"/>
  <c r="F39" s="1"/>
  <c r="E25" i="19"/>
  <c r="CN26" i="2"/>
  <c r="EP24"/>
  <c r="EM22"/>
  <c r="EA22"/>
  <c r="CN22"/>
  <c r="DU21"/>
  <c r="ED20"/>
  <c r="EA19"/>
  <c r="AI15"/>
  <c r="T15"/>
  <c r="T14"/>
  <c r="EP20"/>
  <c r="F14" i="15"/>
  <c r="E5" i="16"/>
  <c r="C25" i="13"/>
  <c r="C37" s="1"/>
  <c r="C49" s="1"/>
  <c r="E65" i="5"/>
  <c r="Z18" i="2"/>
  <c r="F67" i="4"/>
  <c r="F51" i="3"/>
  <c r="D40" i="5"/>
  <c r="D52" s="1"/>
  <c r="D53" s="1"/>
  <c r="C40"/>
  <c r="C52" s="1"/>
  <c r="C53" s="1"/>
  <c r="E29" i="2"/>
  <c r="DS31"/>
  <c r="CH15"/>
  <c r="AC14"/>
  <c r="E30" i="5"/>
  <c r="F20" i="7"/>
  <c r="F29" i="14"/>
  <c r="F12" i="18"/>
  <c r="C4"/>
  <c r="F7" i="4"/>
  <c r="AU15" i="2"/>
  <c r="F32" i="5"/>
  <c r="BA28" i="2"/>
  <c r="AF31"/>
  <c r="E25" i="9"/>
  <c r="EA27" i="2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F25" s="1"/>
  <c r="E81" i="11"/>
  <c r="BR28" i="2"/>
  <c r="G28" s="1"/>
  <c r="D28" s="1"/>
  <c r="E28" s="1"/>
  <c r="K28"/>
  <c r="K24"/>
  <c r="F66" i="15"/>
  <c r="BP25" i="2"/>
  <c r="C10" i="1"/>
  <c r="D51" i="10"/>
  <c r="D50" i="16"/>
  <c r="F51" i="15"/>
  <c r="E51"/>
  <c r="BB31" i="2"/>
  <c r="BD14"/>
  <c r="F133" i="3"/>
  <c r="G39" i="1"/>
  <c r="E133" i="3"/>
  <c r="F5"/>
  <c r="F5" i="1"/>
  <c r="C4" i="3"/>
  <c r="E5"/>
  <c r="E12" i="5"/>
  <c r="F12"/>
  <c r="E31" i="7"/>
  <c r="F31"/>
  <c r="C25"/>
  <c r="C39" s="1"/>
  <c r="C50" s="1"/>
  <c r="F17" i="8"/>
  <c r="D4"/>
  <c r="EH19" i="2"/>
  <c r="EJ19" s="1"/>
  <c r="F76" i="9"/>
  <c r="E5"/>
  <c r="F5"/>
  <c r="E76" i="10"/>
  <c r="EI20" i="2"/>
  <c r="EI21"/>
  <c r="EJ21" s="1"/>
  <c r="E75" i="11"/>
  <c r="E31"/>
  <c r="C25"/>
  <c r="C39" s="1"/>
  <c r="E39" s="1"/>
  <c r="E26"/>
  <c r="F26"/>
  <c r="E32" i="12"/>
  <c r="F32"/>
  <c r="E34" i="13"/>
  <c r="BR23" i="2"/>
  <c r="F34" i="13"/>
  <c r="E14"/>
  <c r="F14"/>
  <c r="F20" i="16"/>
  <c r="E20"/>
  <c r="E29" i="17"/>
  <c r="F29"/>
  <c r="D25"/>
  <c r="E61" i="19"/>
  <c r="DY29" i="2"/>
  <c r="E87" i="3"/>
  <c r="C141"/>
  <c r="E141" s="1"/>
  <c r="F87"/>
  <c r="EK18" i="2"/>
  <c r="DG18" s="1"/>
  <c r="E80" i="8"/>
  <c r="C25"/>
  <c r="F26"/>
  <c r="E41" i="3"/>
  <c r="G16" i="1"/>
  <c r="F41" i="3"/>
  <c r="E66" i="9"/>
  <c r="EC19" i="2"/>
  <c r="F66" i="9"/>
  <c r="E65" i="11"/>
  <c r="F65"/>
  <c r="EC21" i="2"/>
  <c r="E76" i="4"/>
  <c r="EK14" i="2"/>
  <c r="F76" i="4"/>
  <c r="C71" i="15"/>
  <c r="E74"/>
  <c r="C70" i="16"/>
  <c r="F71"/>
  <c r="E71"/>
  <c r="C81" i="17"/>
  <c r="E81" s="1"/>
  <c r="F82"/>
  <c r="E82"/>
  <c r="E75" i="18"/>
  <c r="C71"/>
  <c r="F75"/>
  <c r="E63"/>
  <c r="C56"/>
  <c r="F63"/>
  <c r="C73" i="19"/>
  <c r="F76"/>
  <c r="AJ33" i="2"/>
  <c r="F100" i="5"/>
  <c r="CF33" i="2"/>
  <c r="AD33"/>
  <c r="CO33"/>
  <c r="H11" i="1"/>
  <c r="ER31" i="2"/>
  <c r="D99" i="6"/>
  <c r="F91" i="9"/>
  <c r="E88" i="10"/>
  <c r="EV23" i="2"/>
  <c r="F65" i="5"/>
  <c r="E31" i="18"/>
  <c r="CK18" i="2"/>
  <c r="CA18"/>
  <c r="CB18" s="1"/>
  <c r="E27" i="3"/>
  <c r="G13" i="1"/>
  <c r="G4" s="1"/>
  <c r="F27" i="3"/>
  <c r="BF14" i="2"/>
  <c r="E31" i="4"/>
  <c r="D25"/>
  <c r="D37" s="1"/>
  <c r="E5" i="5"/>
  <c r="F5"/>
  <c r="ET16" i="2"/>
  <c r="E95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ED28" s="1"/>
  <c r="F66" i="18"/>
  <c r="ET29" i="2"/>
  <c r="F90" i="19"/>
  <c r="F35" i="1"/>
  <c r="E113" i="3"/>
  <c r="F113"/>
  <c r="F119"/>
  <c r="E119"/>
  <c r="E12" i="11"/>
  <c r="F12"/>
  <c r="CQ21" i="2"/>
  <c r="CA21"/>
  <c r="E21" i="3"/>
  <c r="F21"/>
  <c r="EE15" i="2"/>
  <c r="F72" i="5"/>
  <c r="D98" i="17"/>
  <c r="E65"/>
  <c r="F65"/>
  <c r="F75" i="16"/>
  <c r="E75"/>
  <c r="EI26" i="2"/>
  <c r="E53" i="19"/>
  <c r="D94"/>
  <c r="D49" s="1"/>
  <c r="F53"/>
  <c r="E80" i="18"/>
  <c r="EL28" i="2"/>
  <c r="EM28" s="1"/>
  <c r="F80" i="18"/>
  <c r="F39" i="4"/>
  <c r="C38"/>
  <c r="E74" i="6"/>
  <c r="C71"/>
  <c r="F74"/>
  <c r="E72" i="7"/>
  <c r="F72"/>
  <c r="F78"/>
  <c r="C75"/>
  <c r="CR31" i="2"/>
  <c r="CT19"/>
  <c r="J5" i="1"/>
  <c r="F40" i="5"/>
  <c r="J35" i="2"/>
  <c r="G15"/>
  <c r="EX24"/>
  <c r="H20"/>
  <c r="D83" i="3"/>
  <c r="D51" i="18"/>
  <c r="F4" i="3"/>
  <c r="BO31" i="2"/>
  <c r="CC33"/>
  <c r="H29"/>
  <c r="E4" i="11"/>
  <c r="F72" i="17"/>
  <c r="DL25" i="2"/>
  <c r="CN28"/>
  <c r="F49" i="3"/>
  <c r="F31" i="8"/>
  <c r="E17" i="9"/>
  <c r="F31" i="11"/>
  <c r="F87" i="12"/>
  <c r="C95" i="13"/>
  <c r="C50" s="1"/>
  <c r="F87" i="14"/>
  <c r="C25"/>
  <c r="C40" s="1"/>
  <c r="C51" s="1"/>
  <c r="E14" i="16"/>
  <c r="BS28" i="2"/>
  <c r="D101" i="9"/>
  <c r="ES22" i="2"/>
  <c r="CZ35"/>
  <c r="CZ33"/>
  <c r="DK16"/>
  <c r="DH16" s="1"/>
  <c r="DX16"/>
  <c r="F19" i="1"/>
  <c r="E49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F63" i="11"/>
  <c r="E63"/>
  <c r="E20"/>
  <c r="F20"/>
  <c r="E5"/>
  <c r="F5"/>
  <c r="F17" i="12"/>
  <c r="C4"/>
  <c r="C40" s="1"/>
  <c r="C50" s="1"/>
  <c r="C51" s="1"/>
  <c r="E17"/>
  <c r="F80" i="13"/>
  <c r="EO23" i="2"/>
  <c r="EP23" s="1"/>
  <c r="E80" i="13"/>
  <c r="EE23" i="2"/>
  <c r="DG23" s="1"/>
  <c r="EW23" s="1"/>
  <c r="F69" i="13"/>
  <c r="F56" i="14"/>
  <c r="E56"/>
  <c r="E12"/>
  <c r="D4"/>
  <c r="D40" s="1"/>
  <c r="EL27" i="2"/>
  <c r="D4" i="17"/>
  <c r="F14"/>
  <c r="E14"/>
  <c r="F29" i="18"/>
  <c r="E29"/>
  <c r="C25"/>
  <c r="E14" i="19"/>
  <c r="F14"/>
  <c r="F71" i="9"/>
  <c r="EF19" i="2"/>
  <c r="EG19" s="1"/>
  <c r="E52" i="4"/>
  <c r="F52"/>
  <c r="DK20" i="2"/>
  <c r="DR20"/>
  <c r="DO14"/>
  <c r="DK14"/>
  <c r="F35" i="12"/>
  <c r="E35"/>
  <c r="E38" i="13"/>
  <c r="F38"/>
  <c r="E7" i="5"/>
  <c r="F7"/>
  <c r="EB27" i="2"/>
  <c r="F67" i="17"/>
  <c r="D12" i="7"/>
  <c r="E13"/>
  <c r="Y17" i="2"/>
  <c r="F13" i="7"/>
  <c r="Y19" i="2"/>
  <c r="G19" s="1"/>
  <c r="E13" i="9"/>
  <c r="D12"/>
  <c r="EM18" i="2"/>
  <c r="F94" i="8"/>
  <c r="CA23" i="2"/>
  <c r="CB23" s="1"/>
  <c r="CE23"/>
  <c r="K22"/>
  <c r="F22"/>
  <c r="C22" s="1"/>
  <c r="EW22" s="1"/>
  <c r="E17" i="5"/>
  <c r="F17"/>
  <c r="E63" i="7"/>
  <c r="F63"/>
  <c r="F83" i="8"/>
  <c r="E83"/>
  <c r="EO18" i="2"/>
  <c r="E29" i="9"/>
  <c r="F29"/>
  <c r="EF20" i="2"/>
  <c r="F14" i="12"/>
  <c r="D4"/>
  <c r="D25" i="13"/>
  <c r="E29"/>
  <c r="F29"/>
  <c r="E93" i="14"/>
  <c r="F93"/>
  <c r="ET24" i="2"/>
  <c r="EV24" s="1"/>
  <c r="E14" i="14"/>
  <c r="F14"/>
  <c r="E83" i="17"/>
  <c r="EN27" i="2"/>
  <c r="EP27" s="1"/>
  <c r="E76" i="18"/>
  <c r="EH28" i="2"/>
  <c r="EJ28" s="1"/>
  <c r="F76" i="18"/>
  <c r="E79" i="19"/>
  <c r="F79"/>
  <c r="EB29" i="2"/>
  <c r="ED29" s="1"/>
  <c r="E63" i="19"/>
  <c r="F63"/>
  <c r="C4"/>
  <c r="F5"/>
  <c r="D98" i="10"/>
  <c r="F64"/>
  <c r="D96" i="7"/>
  <c r="E70"/>
  <c r="EF17" i="2"/>
  <c r="EC14"/>
  <c r="F62" i="4"/>
  <c r="E62"/>
  <c r="CI31" i="2"/>
  <c r="CK16"/>
  <c r="CW14"/>
  <c r="CV31"/>
  <c r="F73" i="10"/>
  <c r="C71"/>
  <c r="EE20" i="2" s="1"/>
  <c r="DG20" s="1"/>
  <c r="EW20" s="1"/>
  <c r="F71" i="11"/>
  <c r="C70"/>
  <c r="C79"/>
  <c r="E80"/>
  <c r="E70" i="13"/>
  <c r="F70"/>
  <c r="C71" i="14"/>
  <c r="F74"/>
  <c r="K6" i="1"/>
  <c r="CB16" i="2"/>
  <c r="CB24"/>
  <c r="E4" i="10"/>
  <c r="DG14" i="2"/>
  <c r="C32" i="3"/>
  <c r="F97" i="9"/>
  <c r="D25" i="7"/>
  <c r="BA21" i="2"/>
  <c r="BA15"/>
  <c r="EM23"/>
  <c r="BA25"/>
  <c r="ES26"/>
  <c r="EV29"/>
  <c r="EA29"/>
  <c r="EP28"/>
  <c r="CK26"/>
  <c r="DO25"/>
  <c r="EA24"/>
  <c r="DR21"/>
  <c r="AL21"/>
  <c r="DX20"/>
  <c r="K20"/>
  <c r="AF19"/>
  <c r="Z19"/>
  <c r="AF18"/>
  <c r="N18"/>
  <c r="CN17"/>
  <c r="Q17"/>
  <c r="AR26"/>
  <c r="H29" i="1"/>
  <c r="DJ29" i="2"/>
  <c r="DL29" s="1"/>
  <c r="CH29"/>
  <c r="N29"/>
  <c r="ES28"/>
  <c r="DU28"/>
  <c r="DU27"/>
  <c r="DO27"/>
  <c r="AC27"/>
  <c r="DR26"/>
  <c r="BG26"/>
  <c r="DR25"/>
  <c r="BG25"/>
  <c r="T25"/>
  <c r="CN25"/>
  <c r="ED24"/>
  <c r="EJ23"/>
  <c r="Q23"/>
  <c r="EV22"/>
  <c r="DU22"/>
  <c r="AI22"/>
  <c r="DY31"/>
  <c r="I30" i="1" s="1"/>
  <c r="AC20" i="2"/>
  <c r="CE19"/>
  <c r="T19"/>
  <c r="U31"/>
  <c r="U35" s="1"/>
  <c r="CH17"/>
  <c r="BG17"/>
  <c r="W17"/>
  <c r="DO16"/>
  <c r="EN31"/>
  <c r="EN33" s="1"/>
  <c r="W14"/>
  <c r="Q14"/>
  <c r="BS20"/>
  <c r="H17" i="1"/>
  <c r="H41"/>
  <c r="DX29" i="2"/>
  <c r="CE29"/>
  <c r="DK28"/>
  <c r="DH28" s="1"/>
  <c r="CH28"/>
  <c r="T28"/>
  <c r="Q28"/>
  <c r="EJ27"/>
  <c r="DR27"/>
  <c r="DU26"/>
  <c r="CH26"/>
  <c r="BG24"/>
  <c r="BS23"/>
  <c r="DX22"/>
  <c r="ES21"/>
  <c r="DO21"/>
  <c r="CH21"/>
  <c r="CE21"/>
  <c r="BG20"/>
  <c r="T20"/>
  <c r="DR19"/>
  <c r="W19"/>
  <c r="CQ18"/>
  <c r="BS18"/>
  <c r="DJ17"/>
  <c r="DL17" s="1"/>
  <c r="CD31"/>
  <c r="CD33" s="1"/>
  <c r="F17"/>
  <c r="C17" s="1"/>
  <c r="BG16"/>
  <c r="EA14"/>
  <c r="DU14"/>
  <c r="N14"/>
  <c r="AR15"/>
  <c r="CT26"/>
  <c r="AR27"/>
  <c r="I15" i="1"/>
  <c r="AM35" i="2"/>
  <c r="AM33"/>
  <c r="AO31"/>
  <c r="AO33" s="1"/>
  <c r="E20"/>
  <c r="J38" i="1"/>
  <c r="ER33" i="2"/>
  <c r="ER35"/>
  <c r="U33"/>
  <c r="E11" i="1"/>
  <c r="DL16" i="2"/>
  <c r="DS35"/>
  <c r="DU31"/>
  <c r="DU33" s="1"/>
  <c r="DS33"/>
  <c r="BH33"/>
  <c r="BH35"/>
  <c r="BJ31"/>
  <c r="DE35"/>
  <c r="DE33"/>
  <c r="CB26"/>
  <c r="BZ31"/>
  <c r="K31"/>
  <c r="CB25"/>
  <c r="I13" i="1"/>
  <c r="DJ28" i="2"/>
  <c r="DJ27"/>
  <c r="CA22"/>
  <c r="DW31"/>
  <c r="AH31"/>
  <c r="EG18"/>
  <c r="DK27"/>
  <c r="DJ21"/>
  <c r="CB14" l="1"/>
  <c r="EX25"/>
  <c r="EW14"/>
  <c r="E26"/>
  <c r="DK31"/>
  <c r="BQ31"/>
  <c r="BQ33" s="1"/>
  <c r="C47" i="4"/>
  <c r="C48" s="1"/>
  <c r="H26" i="2"/>
  <c r="E40" i="5"/>
  <c r="C15" i="2"/>
  <c r="CG33"/>
  <c r="CH31"/>
  <c r="AK35"/>
  <c r="J13" i="1"/>
  <c r="AK33" i="2"/>
  <c r="AX33"/>
  <c r="AX35"/>
  <c r="DY33"/>
  <c r="F52" i="5"/>
  <c r="F25"/>
  <c r="E6" i="1"/>
  <c r="E39" i="16"/>
  <c r="CN31" i="2"/>
  <c r="C39" i="18"/>
  <c r="F39" s="1"/>
  <c r="K10" i="1"/>
  <c r="AC31" i="2"/>
  <c r="E10" i="1"/>
  <c r="J8"/>
  <c r="K8" s="1"/>
  <c r="AB35" i="2"/>
  <c r="BQ35"/>
  <c r="W31"/>
  <c r="W33" s="1"/>
  <c r="EA31"/>
  <c r="CE31"/>
  <c r="AU18"/>
  <c r="AT31"/>
  <c r="D8" i="1"/>
  <c r="E8" s="1"/>
  <c r="EN35" i="2"/>
  <c r="D18"/>
  <c r="DH20"/>
  <c r="EX20" s="1"/>
  <c r="E52" i="5"/>
  <c r="DB33" i="2"/>
  <c r="DC31"/>
  <c r="DB35"/>
  <c r="CB15"/>
  <c r="F4" i="18"/>
  <c r="E4"/>
  <c r="DZ35" i="2"/>
  <c r="DZ33"/>
  <c r="J30" i="1"/>
  <c r="D30" s="1"/>
  <c r="I21"/>
  <c r="C21" s="1"/>
  <c r="DY35" i="2"/>
  <c r="DL28"/>
  <c r="E25" i="18"/>
  <c r="E25" i="10"/>
  <c r="C39" i="9"/>
  <c r="C51" s="1"/>
  <c r="C52" s="1"/>
  <c r="BM33" i="2"/>
  <c r="BM35"/>
  <c r="BE33"/>
  <c r="I18" i="1"/>
  <c r="C18" s="1"/>
  <c r="BE35" i="2"/>
  <c r="CD35"/>
  <c r="E71" i="10"/>
  <c r="F21" i="2"/>
  <c r="C27"/>
  <c r="E27" s="1"/>
  <c r="H27"/>
  <c r="AZ33"/>
  <c r="J17" i="1"/>
  <c r="D17" s="1"/>
  <c r="AZ35" i="2"/>
  <c r="H28"/>
  <c r="C51" i="18"/>
  <c r="E51" s="1"/>
  <c r="E39"/>
  <c r="E37" i="4"/>
  <c r="D47"/>
  <c r="F37"/>
  <c r="EE24" i="2"/>
  <c r="E71" i="14"/>
  <c r="F71"/>
  <c r="C97"/>
  <c r="EK21" i="2"/>
  <c r="EM21" s="1"/>
  <c r="F79" i="11"/>
  <c r="E79"/>
  <c r="DH14" i="2"/>
  <c r="DI14" s="1"/>
  <c r="DL14"/>
  <c r="EE16"/>
  <c r="C99" i="6"/>
  <c r="C52" s="1"/>
  <c r="E71"/>
  <c r="EV16" i="2"/>
  <c r="ET31"/>
  <c r="F71" i="18"/>
  <c r="E71"/>
  <c r="EE28" i="2"/>
  <c r="EG28" s="1"/>
  <c r="F25" i="7"/>
  <c r="E25"/>
  <c r="F70" i="11"/>
  <c r="E70"/>
  <c r="EE21" i="2"/>
  <c r="EG21" s="1"/>
  <c r="C96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BO35" i="2"/>
  <c r="BP31"/>
  <c r="J20" i="1"/>
  <c r="D20" s="1"/>
  <c r="E20" s="1"/>
  <c r="BO33" i="2"/>
  <c r="H15"/>
  <c r="D15"/>
  <c r="EG15"/>
  <c r="DG15"/>
  <c r="E4" i="6"/>
  <c r="D40"/>
  <c r="F4"/>
  <c r="G14" i="2"/>
  <c r="BG14"/>
  <c r="BF31"/>
  <c r="F56" i="18"/>
  <c r="E56"/>
  <c r="C97"/>
  <c r="EE25" i="2"/>
  <c r="E71" i="15"/>
  <c r="F71"/>
  <c r="C97"/>
  <c r="ED21" i="2"/>
  <c r="DH21"/>
  <c r="ED19"/>
  <c r="DH19"/>
  <c r="E25" i="11"/>
  <c r="F25"/>
  <c r="EJ20" i="2"/>
  <c r="EI31"/>
  <c r="I37" i="1"/>
  <c r="EG23" i="2"/>
  <c r="D13" i="1"/>
  <c r="EG20" i="2"/>
  <c r="F95" i="13"/>
  <c r="EB31" i="2"/>
  <c r="DG19"/>
  <c r="EW19" s="1"/>
  <c r="ED27"/>
  <c r="H22"/>
  <c r="CI35"/>
  <c r="CI33"/>
  <c r="CK31"/>
  <c r="DH17"/>
  <c r="EG17"/>
  <c r="EF31"/>
  <c r="EO31"/>
  <c r="EP18"/>
  <c r="BA18"/>
  <c r="AY31"/>
  <c r="F18"/>
  <c r="C35" i="1"/>
  <c r="E35" s="1"/>
  <c r="F28"/>
  <c r="H35"/>
  <c r="F4"/>
  <c r="H5"/>
  <c r="C5"/>
  <c r="D52" i="10"/>
  <c r="F32" i="3"/>
  <c r="E32"/>
  <c r="ED14" i="2"/>
  <c r="EC31"/>
  <c r="D19"/>
  <c r="H19"/>
  <c r="D4" i="7"/>
  <c r="F12"/>
  <c r="E12"/>
  <c r="D37" i="17"/>
  <c r="F4"/>
  <c r="E4"/>
  <c r="E4" i="14"/>
  <c r="F4"/>
  <c r="EM19" i="2"/>
  <c r="EL31"/>
  <c r="F101" i="9"/>
  <c r="E101"/>
  <c r="D52" i="18"/>
  <c r="F51"/>
  <c r="K5" i="1"/>
  <c r="D5"/>
  <c r="E75" i="7"/>
  <c r="F75"/>
  <c r="C96"/>
  <c r="C51" s="1"/>
  <c r="EH17" i="2"/>
  <c r="EJ17" s="1"/>
  <c r="ES19"/>
  <c r="EQ31"/>
  <c r="F25" i="4"/>
  <c r="E25"/>
  <c r="E99" i="6"/>
  <c r="F99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DI20" i="2"/>
  <c r="C98" i="10"/>
  <c r="E98" s="1"/>
  <c r="F25" i="18"/>
  <c r="DL20" i="2"/>
  <c r="C71" i="3"/>
  <c r="C39" i="8"/>
  <c r="C51" s="1"/>
  <c r="C52" s="1"/>
  <c r="F141" i="3"/>
  <c r="E4"/>
  <c r="D37" i="13"/>
  <c r="F25"/>
  <c r="E25"/>
  <c r="CB21" i="2"/>
  <c r="D21"/>
  <c r="EK27"/>
  <c r="DG27" s="1"/>
  <c r="EW27" s="1"/>
  <c r="C98" i="17"/>
  <c r="C53" s="1"/>
  <c r="D16" i="1"/>
  <c r="E16" s="1"/>
  <c r="G14"/>
  <c r="H14" s="1"/>
  <c r="H16"/>
  <c r="E96" i="7"/>
  <c r="E4" i="19"/>
  <c r="C37"/>
  <c r="F4"/>
  <c r="C7" i="1"/>
  <c r="H7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C50" i="11"/>
  <c r="F39"/>
  <c r="E50" i="16"/>
  <c r="F50"/>
  <c r="D51"/>
  <c r="EY20" i="2"/>
  <c r="F71" i="6"/>
  <c r="F81" i="17"/>
  <c r="DH23" i="2"/>
  <c r="DI23" s="1"/>
  <c r="DH18"/>
  <c r="EX18" s="1"/>
  <c r="J29" i="1"/>
  <c r="DK35" i="2"/>
  <c r="DK33"/>
  <c r="I24" i="1"/>
  <c r="BZ33" i="2"/>
  <c r="BZ35"/>
  <c r="DG21"/>
  <c r="DL21"/>
  <c r="EX28"/>
  <c r="CB22"/>
  <c r="D22"/>
  <c r="CA31"/>
  <c r="I4" i="1"/>
  <c r="C13"/>
  <c r="C15"/>
  <c r="BJ33" i="2"/>
  <c r="BJ35"/>
  <c r="DX31"/>
  <c r="DW35"/>
  <c r="DW33"/>
  <c r="DH27"/>
  <c r="DL27"/>
  <c r="AH33"/>
  <c r="J12" i="1"/>
  <c r="AI31" i="2"/>
  <c r="AH35"/>
  <c r="EX16"/>
  <c r="C30" i="1"/>
  <c r="DJ31" i="2"/>
  <c r="DG28" l="1"/>
  <c r="EW28" s="1"/>
  <c r="K30" i="1"/>
  <c r="EY28" i="2"/>
  <c r="DI21"/>
  <c r="EX21"/>
  <c r="F96" i="7"/>
  <c r="DC35" i="2"/>
  <c r="DC33"/>
  <c r="AT35"/>
  <c r="AT33"/>
  <c r="J15" i="1"/>
  <c r="AU31" i="2"/>
  <c r="DI28"/>
  <c r="H28" i="1"/>
  <c r="EK31" i="2"/>
  <c r="EM31" s="1"/>
  <c r="E94" i="19"/>
  <c r="DG17" i="2"/>
  <c r="EW17" s="1"/>
  <c r="EM27"/>
  <c r="H21"/>
  <c r="C21"/>
  <c r="E21" s="1"/>
  <c r="F37" i="13"/>
  <c r="D49"/>
  <c r="E37"/>
  <c r="C82" i="3"/>
  <c r="F71"/>
  <c r="E71"/>
  <c r="H23" i="2"/>
  <c r="D23"/>
  <c r="F96" i="16"/>
  <c r="E96"/>
  <c r="C51"/>
  <c r="E4" i="7"/>
  <c r="D39"/>
  <c r="F4"/>
  <c r="H4" i="1"/>
  <c r="F23"/>
  <c r="F27" s="1"/>
  <c r="F43" s="1"/>
  <c r="EI33" i="2"/>
  <c r="J33" i="1"/>
  <c r="EI35" i="2"/>
  <c r="F97" i="15"/>
  <c r="E97"/>
  <c r="C52"/>
  <c r="F97" i="18"/>
  <c r="E97"/>
  <c r="D17" i="2"/>
  <c r="H17"/>
  <c r="ET33"/>
  <c r="ET35"/>
  <c r="I41" i="1"/>
  <c r="DG16" i="2"/>
  <c r="EG16"/>
  <c r="EE31"/>
  <c r="E97" i="14"/>
  <c r="F97"/>
  <c r="F47" i="4"/>
  <c r="E47"/>
  <c r="D48"/>
  <c r="BD35" i="2"/>
  <c r="BD33"/>
  <c r="E37" i="19"/>
  <c r="F37"/>
  <c r="C48"/>
  <c r="D28" i="1"/>
  <c r="E39"/>
  <c r="J21"/>
  <c r="D21" s="1"/>
  <c r="BR33" i="2"/>
  <c r="BR35"/>
  <c r="BS31"/>
  <c r="EQ35"/>
  <c r="EQ33"/>
  <c r="I38" i="1"/>
  <c r="K38" s="1"/>
  <c r="ES31" i="2"/>
  <c r="EC33"/>
  <c r="EC35"/>
  <c r="J31" i="1"/>
  <c r="ED31" i="2"/>
  <c r="BA31"/>
  <c r="AY35"/>
  <c r="AY33"/>
  <c r="I17" i="1"/>
  <c r="J32"/>
  <c r="EF33" i="2"/>
  <c r="EF35"/>
  <c r="I31" i="1"/>
  <c r="EB35" i="2"/>
  <c r="EB33"/>
  <c r="EG25"/>
  <c r="DG25"/>
  <c r="DI25" s="1"/>
  <c r="J18" i="1"/>
  <c r="BF33" i="2"/>
  <c r="BF35"/>
  <c r="BG31"/>
  <c r="BG33" s="1"/>
  <c r="E40" i="6"/>
  <c r="F40"/>
  <c r="D51"/>
  <c r="E15" i="2"/>
  <c r="EX15"/>
  <c r="E96" i="11"/>
  <c r="F96"/>
  <c r="EG24" i="2"/>
  <c r="DG24"/>
  <c r="DI19"/>
  <c r="F98" i="10"/>
  <c r="C52" i="18"/>
  <c r="C4" i="1"/>
  <c r="G23"/>
  <c r="E5"/>
  <c r="DI18" i="2"/>
  <c r="EH31"/>
  <c r="F50" i="11"/>
  <c r="C51"/>
  <c r="E50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EY19" s="1"/>
  <c r="C18"/>
  <c r="H18"/>
  <c r="F31"/>
  <c r="EO33"/>
  <c r="EO35"/>
  <c r="J37" i="1"/>
  <c r="EP31" i="2"/>
  <c r="E4" i="9"/>
  <c r="F4"/>
  <c r="D39"/>
  <c r="F40" i="12"/>
  <c r="D50"/>
  <c r="E40"/>
  <c r="E98" i="17"/>
  <c r="DI17" i="2"/>
  <c r="H25"/>
  <c r="C25"/>
  <c r="K25" i="1"/>
  <c r="C25"/>
  <c r="E25" s="1"/>
  <c r="EK33" i="2"/>
  <c r="EJ29"/>
  <c r="DG29"/>
  <c r="F40" i="14"/>
  <c r="D51"/>
  <c r="E40"/>
  <c r="D52" i="17"/>
  <c r="E37"/>
  <c r="F37"/>
  <c r="H14" i="2"/>
  <c r="G31"/>
  <c r="D14"/>
  <c r="D31" s="1"/>
  <c r="EW15"/>
  <c r="DI15"/>
  <c r="C51" i="10"/>
  <c r="F39"/>
  <c r="E39"/>
  <c r="J7" i="1"/>
  <c r="J4" s="1"/>
  <c r="Y33" i="2"/>
  <c r="Z31"/>
  <c r="Y35"/>
  <c r="CW35"/>
  <c r="CW33"/>
  <c r="F98" i="17"/>
  <c r="C52" i="14"/>
  <c r="I29" i="1"/>
  <c r="K29" s="1"/>
  <c r="DJ33" i="2"/>
  <c r="DJ35"/>
  <c r="EX27"/>
  <c r="EY27" s="1"/>
  <c r="DI27"/>
  <c r="E30" i="1"/>
  <c r="C28"/>
  <c r="K12"/>
  <c r="D12"/>
  <c r="DH31" i="2"/>
  <c r="DL31"/>
  <c r="E22"/>
  <c r="EX22"/>
  <c r="EY22" s="1"/>
  <c r="CA35"/>
  <c r="CB31"/>
  <c r="J24" i="1"/>
  <c r="CA33" i="2"/>
  <c r="EK35" l="1"/>
  <c r="I36" i="1"/>
  <c r="K36" s="1"/>
  <c r="K15"/>
  <c r="D15"/>
  <c r="E15" s="1"/>
  <c r="EY15" i="2"/>
  <c r="DI26"/>
  <c r="EW21"/>
  <c r="EY21" s="1"/>
  <c r="DG31"/>
  <c r="DI31" s="1"/>
  <c r="J28" i="1"/>
  <c r="DG35" i="2"/>
  <c r="C17" i="1"/>
  <c r="K17"/>
  <c r="I14"/>
  <c r="I32"/>
  <c r="K32" s="1"/>
  <c r="EE35" i="2"/>
  <c r="EE33"/>
  <c r="G33"/>
  <c r="G35"/>
  <c r="H31"/>
  <c r="EW29"/>
  <c r="EY29" s="1"/>
  <c r="DI29"/>
  <c r="F50" i="12"/>
  <c r="E50"/>
  <c r="D51"/>
  <c r="EX14" i="2"/>
  <c r="E14"/>
  <c r="E51" i="14"/>
  <c r="F51"/>
  <c r="D52"/>
  <c r="E39" i="9"/>
  <c r="D51"/>
  <c r="F39"/>
  <c r="E23" i="2"/>
  <c r="EX23"/>
  <c r="EY23" s="1"/>
  <c r="C83" i="3"/>
  <c r="E82"/>
  <c r="F82"/>
  <c r="EG31" i="2"/>
  <c r="K31" i="1"/>
  <c r="F39" i="7"/>
  <c r="D50"/>
  <c r="E39"/>
  <c r="I33" i="1"/>
  <c r="EH35" i="2"/>
  <c r="EH33"/>
  <c r="EX17"/>
  <c r="EY17" s="1"/>
  <c r="E17"/>
  <c r="D50" i="13"/>
  <c r="E49"/>
  <c r="F49"/>
  <c r="K33" i="1"/>
  <c r="D7"/>
  <c r="E7" s="1"/>
  <c r="K7"/>
  <c r="F33" i="2"/>
  <c r="F35"/>
  <c r="F51" i="8"/>
  <c r="D52"/>
  <c r="E51"/>
  <c r="E51" i="6"/>
  <c r="F51"/>
  <c r="D52"/>
  <c r="C52" i="10"/>
  <c r="E51"/>
  <c r="F51"/>
  <c r="D53" i="17"/>
  <c r="F52"/>
  <c r="E52"/>
  <c r="EW25" i="2"/>
  <c r="EY25" s="1"/>
  <c r="E25"/>
  <c r="EW18"/>
  <c r="EY18" s="1"/>
  <c r="E18"/>
  <c r="C31"/>
  <c r="E31" s="1"/>
  <c r="G27" i="1"/>
  <c r="H23"/>
  <c r="DI24" i="2"/>
  <c r="EW24"/>
  <c r="EY24" s="1"/>
  <c r="J14" i="1"/>
  <c r="K18"/>
  <c r="D18"/>
  <c r="E48" i="19"/>
  <c r="C49"/>
  <c r="F48"/>
  <c r="EW16" i="2"/>
  <c r="EY16" s="1"/>
  <c r="DI16"/>
  <c r="EY26"/>
  <c r="EJ31"/>
  <c r="K4" i="1"/>
  <c r="J23"/>
  <c r="J27" s="1"/>
  <c r="DH33" i="2"/>
  <c r="DH35"/>
  <c r="E28" i="1"/>
  <c r="D35" i="2"/>
  <c r="D33"/>
  <c r="E12" i="1"/>
  <c r="K24"/>
  <c r="I28" l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C27" s="1"/>
  <c r="C43" s="1"/>
  <c r="J43"/>
  <c r="D23" l="1"/>
  <c r="I43"/>
  <c r="F44" s="1"/>
  <c r="F45" s="1"/>
  <c r="E14"/>
  <c r="G44"/>
  <c r="G45" s="1"/>
  <c r="EX33" i="2"/>
  <c r="EX35"/>
  <c r="EY31"/>
  <c r="EW35"/>
  <c r="EW33"/>
  <c r="K27" i="1"/>
  <c r="K23"/>
  <c r="D27"/>
  <c r="E23"/>
  <c r="C44" l="1"/>
  <c r="E27"/>
  <c r="D43"/>
  <c r="D44" s="1"/>
</calcChain>
</file>

<file path=xl/sharedStrings.xml><?xml version="1.0" encoding="utf-8"?>
<sst xmlns="http://schemas.openxmlformats.org/spreadsheetml/2006/main" count="2748" uniqueCount="384">
  <si>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</si>
  <si>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</si>
  <si>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</si>
  <si>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</si>
  <si>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</si>
  <si>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</si>
  <si>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</si>
  <si>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</si>
  <si>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</si>
  <si>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</si>
  <si>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</si>
  <si>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</si>
  <si>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</si>
  <si>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</si>
  <si>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</si>
  <si>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</si>
  <si>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</si>
  <si>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</si>
  <si>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</si>
  <si>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</si>
  <si>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</si>
  <si>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</si>
  <si>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</si>
  <si>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</si>
  <si>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</si>
  <si>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</si>
  <si>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</si>
  <si>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</si>
  <si>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</si>
  <si>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</si>
  <si>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</si>
  <si>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</si>
  <si>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</si>
  <si>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</si>
  <si>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</si>
  <si>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</si>
  <si>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</si>
  <si>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</si>
  <si>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</si>
  <si>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</si>
  <si>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</si>
  <si>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</si>
  <si>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</si>
  <si>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</si>
  <si>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</si>
  <si>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</si>
  <si>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</si>
  <si>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</si>
  <si>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</si>
  <si>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</si>
  <si>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</si>
  <si>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</si>
  <si>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</si>
  <si>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</si>
  <si>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</si>
  <si>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</si>
  <si>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</si>
  <si>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</si>
  <si>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</si>
  <si>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</si>
  <si>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</si>
  <si>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</si>
  <si>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</si>
  <si>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</si>
  <si>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</si>
  <si>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</si>
  <si>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</si>
  <si>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</si>
  <si>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</si>
  <si>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</si>
  <si>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</si>
  <si>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</si>
  <si>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</si>
  <si>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</si>
  <si>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</si>
  <si>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</si>
  <si>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</si>
  <si>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</si>
  <si>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</si>
  <si>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</si>
  <si>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</si>
  <si>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</si>
  <si>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</si>
  <si>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</si>
  <si>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</si>
  <si>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</si>
  <si>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</si>
  <si>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</si>
  <si>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</si>
  <si>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</si>
  <si>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</si>
  <si>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</si>
  <si>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</si>
  <si>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</si>
  <si>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</si>
  <si>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</si>
  <si>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</si>
  <si>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</si>
  <si>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</si>
  <si>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</si>
  <si>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</si>
  <si>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</si>
  <si>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</si>
  <si>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</si>
  <si>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</si>
  <si>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</si>
  <si>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</si>
  <si>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</si>
  <si>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</si>
  <si>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</si>
  <si>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</si>
  <si>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</si>
  <si>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</si>
  <si>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</si>
  <si>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</si>
  <si>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</si>
  <si>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</si>
  <si>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</si>
  <si>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</si>
  <si>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</si>
  <si>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</si>
  <si>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</si>
  <si>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</si>
  <si>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</si>
  <si>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</si>
  <si>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</si>
  <si>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</si>
  <si>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</si>
  <si>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</si>
  <si>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</si>
  <si>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</si>
  <si>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</si>
  <si>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</si>
  <si>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</si>
  <si>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</si>
  <si>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</si>
  <si>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</si>
  <si>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</si>
  <si>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</si>
  <si>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</si>
  <si>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</si>
  <si>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</si>
  <si>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</si>
  <si>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</si>
  <si>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</si>
  <si>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</si>
  <si>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</si>
  <si>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</si>
  <si>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</si>
  <si>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</si>
  <si>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</si>
  <si>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</si>
  <si>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</si>
  <si>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</si>
  <si>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</si>
  <si>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</si>
  <si>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</si>
  <si>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</si>
  <si>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</si>
  <si>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</si>
  <si>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</si>
  <si>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</si>
  <si>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</si>
  <si>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</si>
  <si>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</si>
  <si>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</si>
  <si>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</si>
  <si>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</si>
  <si>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</si>
  <si>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</si>
  <si>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</si>
  <si>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</si>
  <si>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</si>
  <si>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</si>
  <si>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</si>
  <si>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</si>
  <si>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</si>
  <si>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</si>
  <si>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</si>
  <si>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</si>
  <si>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</si>
  <si>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</si>
  <si>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</si>
  <si>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</si>
  <si>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</si>
  <si>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</si>
  <si>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</si>
  <si>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</si>
  <si>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</si>
  <si>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</si>
  <si>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</si>
  <si>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</si>
  <si>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</si>
  <si>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</si>
  <si>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</si>
  <si>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</si>
  <si>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</si>
  <si>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</si>
  <si>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</si>
  <si>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</si>
  <si>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</si>
  <si>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</si>
  <si>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</si>
  <si>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</si>
  <si>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</si>
  <si>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</si>
  <si>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</si>
  <si>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</si>
  <si>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</si>
  <si>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</si>
  <si>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</si>
  <si>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</si>
  <si>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</si>
  <si>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</si>
  <si>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</si>
  <si>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</si>
  <si>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</si>
  <si>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</si>
  <si>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</si>
  <si>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</si>
  <si>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</si>
  <si>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</si>
  <si>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</si>
  <si>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</si>
  <si>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</si>
  <si>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</si>
  <si>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</si>
  <si>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</si>
  <si>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</si>
  <si>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</si>
  <si>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</si>
  <si>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</si>
  <si>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</si>
  <si>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</si>
  <si>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</si>
  <si>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</si>
  <si>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</si>
  <si>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</si>
  <si>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</si>
  <si>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</si>
  <si>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</si>
  <si>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</si>
  <si>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</si>
  <si>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</si>
  <si>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</si>
  <si>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</si>
  <si>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</si>
  <si>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</si>
  <si>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</si>
  <si>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</si>
  <si>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</si>
  <si>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</si>
  <si>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</si>
  <si>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</si>
  <si>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</si>
  <si>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</si>
  <si>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</si>
  <si>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</si>
  <si>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</si>
  <si>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</si>
  <si>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</si>
  <si>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</si>
  <si>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</si>
  <si>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</si>
  <si>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</si>
  <si>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</si>
  <si>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</si>
  <si>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</si>
  <si>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</si>
  <si>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</si>
  <si>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</si>
  <si>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</si>
  <si>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</si>
  <si>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</si>
  <si>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</si>
  <si>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</si>
  <si>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</si>
  <si>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</si>
  <si>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</si>
  <si>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</si>
  <si>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</si>
  <si>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</si>
  <si>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</si>
  <si>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</si>
  <si>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</si>
  <si>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</si>
  <si>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</si>
  <si>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</si>
  <si>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</si>
  <si>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</si>
  <si>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</si>
  <si>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</si>
  <si>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</si>
  <si>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</si>
  <si>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</si>
  <si>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</si>
  <si>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</si>
  <si>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</si>
  <si>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</si>
  <si>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</si>
  <si>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</si>
  <si>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</si>
  <si>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</si>
  <si>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</si>
  <si>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</si>
  <si>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</si>
  <si>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</si>
  <si>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</si>
  <si>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</si>
  <si>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</si>
  <si>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</si>
  <si>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</si>
  <si>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</si>
  <si>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</si>
  <si>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</si>
  <si>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</si>
  <si>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</si>
  <si>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</si>
  <si>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</si>
  <si>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</si>
  <si>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</si>
  <si>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</si>
  <si>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</si>
  <si>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</si>
  <si>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</si>
  <si>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</si>
  <si>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</si>
  <si>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</si>
  <si>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</si>
  <si>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</si>
  <si>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</si>
  <si>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</si>
  <si>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</si>
  <si>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</si>
  <si>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</si>
  <si>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</si>
  <si>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</si>
  <si>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</si>
  <si>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</si>
  <si>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</si>
  <si>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</si>
  <si>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</si>
  <si>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</si>
  <si>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</si>
  <si>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</si>
  <si>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</si>
  <si>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</si>
  <si>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</si>
  <si>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</si>
  <si>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</si>
  <si>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</si>
  <si>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</si>
  <si>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</si>
  <si>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</si>
  <si>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</si>
  <si>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</si>
  <si>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</si>
  <si>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</si>
  <si>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</si>
  <si>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Анализ исполнения консолидированного бюджета Моргаушского районана 01.04.2018 г.</t>
  </si>
  <si>
    <t>исполнено на 01.04.2018 г.</t>
  </si>
  <si>
    <t>об исполнении бюджетов поселений  Моргаушского района  на 1 апреля 2018 г.</t>
  </si>
  <si>
    <t xml:space="preserve">исполнено на 01.04.2018 г. </t>
  </si>
  <si>
    <t xml:space="preserve">                          Моргаушского района на 01.04.2018 г. </t>
  </si>
  <si>
    <t>исполнен на 01.04.2018 г.</t>
  </si>
  <si>
    <t xml:space="preserve">                     Анализ исполнения бюджета Александровского сельского поселения на 01.04.2018 г.</t>
  </si>
  <si>
    <t>исполнено на 01.04.2018 г</t>
  </si>
  <si>
    <t>исполнено на 01.04.2018г.</t>
  </si>
  <si>
    <t>Поступления от денежных пожертвований</t>
  </si>
  <si>
    <t xml:space="preserve">                     Анализ исполнения бюджета Большесундырского сельского поселения на 01.04.2018 г.</t>
  </si>
  <si>
    <t xml:space="preserve">                     Анализ исполнения бюджета Ярославского сельского поселения на 01.04.2018 г.</t>
  </si>
  <si>
    <t xml:space="preserve">                     Анализ исполнения бюджета Ярабайкасинского сельского поселения на 01.04.2018 г.</t>
  </si>
  <si>
    <t xml:space="preserve">                     Анализ исполнения бюджета Юськасинского сельского поселения на 01.04.2018 г.</t>
  </si>
  <si>
    <t xml:space="preserve">                     Анализ исполнения бюджета Юнгинского сельского поселения на 01.04.2018 г.</t>
  </si>
  <si>
    <t xml:space="preserve">                     Анализ исполнения бюджета Шатьмапосинского сельского поселения на 01.04.2018 г.</t>
  </si>
  <si>
    <t xml:space="preserve">                     Анализ исполнения бюджета Чуманкасинского сельского поселения на 01.04.2018 г.</t>
  </si>
  <si>
    <t xml:space="preserve">                     Анализ исполнения бюджета Хорнойского сельского поселения на 01.04.2018 г.</t>
  </si>
  <si>
    <t xml:space="preserve">                     Анализ исполнения бюджета Тораевского сельского поселения на 01.04.2018 г.</t>
  </si>
  <si>
    <t xml:space="preserve">                     Анализ исполнения бюджета Сятракасинского сельского поселения на 01.04.2018 г.</t>
  </si>
  <si>
    <t xml:space="preserve">                     Анализ исполнения бюджета Орининского сельского поселения на 01.04.2018 г.</t>
  </si>
  <si>
    <t xml:space="preserve">                     Анализ исполнения бюджета Москакасинского сельского поселения на 01.04.2018 г.</t>
  </si>
  <si>
    <t xml:space="preserve">                     Анализ исполнения бюджета Моргаушского сельского поселения на 01.04.2018 г.</t>
  </si>
  <si>
    <t xml:space="preserve">                     Анализ исполнения бюджета Кадикасинского сельского поселения на 01.04.2018 г.</t>
  </si>
  <si>
    <t xml:space="preserve">                     Анализ исполнения бюджета Ильинского сельского поселения на 01.04.2018 г.</t>
  </si>
</sst>
</file>

<file path=xl/styles.xml><?xml version="1.0" encoding="utf-8"?>
<styleSheet xmlns="http://schemas.openxmlformats.org/spreadsheetml/2006/main">
  <numFmts count="1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</numFmts>
  <fonts count="35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439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22" fillId="3" borderId="1" xfId="10" applyFont="1" applyFill="1" applyBorder="1" applyAlignment="1">
      <alignment vertical="center" wrapText="1"/>
    </xf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center" vertical="center" wrapText="1"/>
    </xf>
    <xf numFmtId="174" fontId="7" fillId="0" borderId="0" xfId="8" applyNumberFormat="1" applyFont="1"/>
    <xf numFmtId="174" fontId="5" fillId="0" borderId="0" xfId="9" applyNumberFormat="1" applyFont="1" applyAlignment="1">
      <alignment horizontal="center"/>
    </xf>
    <xf numFmtId="178" fontId="3" fillId="0" borderId="1" xfId="11" applyNumberFormat="1" applyFont="1" applyFill="1" applyBorder="1" applyAlignment="1">
      <alignment horizontal="center" vertical="center" wrapText="1"/>
    </xf>
    <xf numFmtId="178" fontId="7" fillId="0" borderId="0" xfId="8" applyNumberFormat="1" applyFont="1"/>
    <xf numFmtId="178" fontId="5" fillId="0" borderId="0" xfId="9" applyNumberFormat="1" applyFont="1" applyAlignment="1">
      <alignment horizontal="center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0" xfId="9" applyNumberFormat="1" applyFont="1" applyAlignment="1">
      <alignment horizontal="right"/>
    </xf>
    <xf numFmtId="166" fontId="3" fillId="0" borderId="0" xfId="9" applyNumberFormat="1" applyFont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175" fontId="30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166" fontId="32" fillId="5" borderId="1" xfId="12" applyNumberFormat="1" applyFont="1" applyFill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3" borderId="1" xfId="12" applyNumberFormat="1" applyFont="1" applyFill="1" applyBorder="1" applyAlignment="1">
      <alignment horizontal="right" vertical="center"/>
    </xf>
    <xf numFmtId="166" fontId="3" fillId="3" borderId="1" xfId="12" applyNumberFormat="1" applyFont="1" applyFill="1" applyBorder="1" applyAlignment="1">
      <alignment horizontal="right" vertical="center"/>
    </xf>
    <xf numFmtId="169" fontId="3" fillId="0" borderId="2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67" fontId="3" fillId="3" borderId="1" xfId="12" applyNumberFormat="1" applyFont="1" applyFill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2" fontId="5" fillId="0" borderId="1" xfId="11" applyNumberFormat="1" applyFont="1" applyFill="1" applyBorder="1" applyAlignment="1">
      <alignment horizontal="right" vertical="center"/>
    </xf>
    <xf numFmtId="2" fontId="3" fillId="0" borderId="1" xfId="11" applyNumberFormat="1" applyFont="1" applyFill="1" applyBorder="1" applyAlignment="1">
      <alignment horizontal="right" vertical="center"/>
    </xf>
    <xf numFmtId="2" fontId="5" fillId="0" borderId="1" xfId="1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 shrinkToFit="1"/>
    </xf>
    <xf numFmtId="2" fontId="5" fillId="2" borderId="1" xfId="3" applyNumberFormat="1" applyFont="1" applyFill="1" applyBorder="1" applyAlignment="1">
      <alignment horizontal="right" vertical="center" shrinkToFit="1"/>
    </xf>
    <xf numFmtId="2" fontId="5" fillId="2" borderId="1" xfId="4" applyNumberFormat="1" applyFont="1" applyFill="1" applyBorder="1" applyAlignment="1">
      <alignment horizontal="right" vertical="center" shrinkToFit="1"/>
    </xf>
    <xf numFmtId="2" fontId="3" fillId="2" borderId="1" xfId="4" applyNumberFormat="1" applyFont="1" applyFill="1" applyBorder="1" applyAlignment="1">
      <alignment horizontal="right" vertical="center" shrinkToFit="1"/>
    </xf>
    <xf numFmtId="167" fontId="3" fillId="0" borderId="1" xfId="12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7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topLeftCell="A16" zoomScale="80" zoomScaleNormal="80" zoomScaleSheetLayoutView="80" workbookViewId="0">
      <selection activeCell="C24" sqref="C24"/>
    </sheetView>
  </sheetViews>
  <sheetFormatPr defaultRowHeight="15.75"/>
  <cols>
    <col min="1" max="1" width="41.28515625" style="84" customWidth="1"/>
    <col min="2" max="2" width="10" style="85" customWidth="1"/>
    <col min="3" max="3" width="19.85546875" style="75" customWidth="1"/>
    <col min="4" max="4" width="18.5703125" style="75" customWidth="1"/>
    <col min="5" max="5" width="13.5703125" style="75" customWidth="1"/>
    <col min="6" max="6" width="18.28515625" style="75" customWidth="1"/>
    <col min="7" max="7" width="18.710937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398" t="s">
        <v>359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123"/>
      <c r="M1" s="123"/>
      <c r="N1" s="123"/>
      <c r="O1" s="123"/>
    </row>
    <row r="2" spans="1:15" ht="33.75" customHeight="1">
      <c r="A2" s="396" t="s">
        <v>181</v>
      </c>
      <c r="B2" s="397" t="s">
        <v>182</v>
      </c>
      <c r="C2" s="393" t="s">
        <v>183</v>
      </c>
      <c r="D2" s="394"/>
      <c r="E2" s="394"/>
      <c r="F2" s="393" t="s">
        <v>184</v>
      </c>
      <c r="G2" s="394"/>
      <c r="H2" s="394"/>
      <c r="I2" s="393" t="s">
        <v>185</v>
      </c>
      <c r="J2" s="394"/>
      <c r="K2" s="399"/>
    </row>
    <row r="3" spans="1:15" ht="53.25" customHeight="1">
      <c r="A3" s="396"/>
      <c r="B3" s="397"/>
      <c r="C3" s="78" t="s">
        <v>347</v>
      </c>
      <c r="D3" s="78" t="s">
        <v>360</v>
      </c>
      <c r="E3" s="138" t="s">
        <v>332</v>
      </c>
      <c r="F3" s="78" t="s">
        <v>347</v>
      </c>
      <c r="G3" s="78" t="s">
        <v>360</v>
      </c>
      <c r="H3" s="138" t="s">
        <v>332</v>
      </c>
      <c r="I3" s="78" t="s">
        <v>347</v>
      </c>
      <c r="J3" s="78" t="s">
        <v>360</v>
      </c>
      <c r="K3" s="78" t="s">
        <v>332</v>
      </c>
    </row>
    <row r="4" spans="1:15" s="80" customFormat="1" ht="30.75" customHeight="1">
      <c r="A4" s="79" t="s">
        <v>5</v>
      </c>
      <c r="B4" s="76"/>
      <c r="C4" s="329">
        <f>SUM(C5:C13)</f>
        <v>160276.94200000001</v>
      </c>
      <c r="D4" s="329">
        <f>SUM(D5:D13)</f>
        <v>32669.630669999999</v>
      </c>
      <c r="E4" s="329">
        <f>D4/C4*100</f>
        <v>20.383238076753422</v>
      </c>
      <c r="F4" s="329">
        <f>SUM(F5:F13)</f>
        <v>126324</v>
      </c>
      <c r="G4" s="329">
        <f>SUM(G5:G13)</f>
        <v>27663.374489999998</v>
      </c>
      <c r="H4" s="329">
        <f>G4/F4*100</f>
        <v>21.89874805262658</v>
      </c>
      <c r="I4" s="329">
        <f>I5+I7+I6+I8+I10+I11+I12+I13</f>
        <v>33952.942000000003</v>
      </c>
      <c r="J4" s="329">
        <f>J5+J6+J7+J8+J10+J11+J12+J13</f>
        <v>5006.2561800000003</v>
      </c>
      <c r="K4" s="329">
        <f>J4/I4*100</f>
        <v>14.744690401202934</v>
      </c>
    </row>
    <row r="5" spans="1:15" ht="27" customHeight="1">
      <c r="A5" s="81" t="s">
        <v>186</v>
      </c>
      <c r="B5" s="77">
        <v>10102</v>
      </c>
      <c r="C5" s="330">
        <f t="shared" ref="C5:D8" si="0">F5+I5</f>
        <v>109796.9</v>
      </c>
      <c r="D5" s="330">
        <f t="shared" si="0"/>
        <v>24074.497499999998</v>
      </c>
      <c r="E5" s="331">
        <f t="shared" ref="E5:E12" si="1">D5/C5*100</f>
        <v>21.92639090903295</v>
      </c>
      <c r="F5" s="330">
        <f>район!C5</f>
        <v>104690</v>
      </c>
      <c r="G5" s="330">
        <f>район!D5</f>
        <v>22956.597819999999</v>
      </c>
      <c r="H5" s="331">
        <f t="shared" ref="H5:H41" si="2">G5/F5*100</f>
        <v>21.928166797210814</v>
      </c>
      <c r="I5" s="330">
        <f>Справка!I31</f>
        <v>5106.9000000000005</v>
      </c>
      <c r="J5" s="330">
        <f>Справка!J31</f>
        <v>1117.8996799999998</v>
      </c>
      <c r="K5" s="331">
        <f t="shared" ref="K5:K12" si="3">J5/I5*100</f>
        <v>21.889985705613967</v>
      </c>
    </row>
    <row r="6" spans="1:15" ht="41.25" customHeight="1">
      <c r="A6" s="81" t="s">
        <v>284</v>
      </c>
      <c r="B6" s="77">
        <v>10300</v>
      </c>
      <c r="C6" s="330">
        <f t="shared" si="0"/>
        <v>12424.7</v>
      </c>
      <c r="D6" s="330">
        <f t="shared" si="0"/>
        <v>2900.2957999999999</v>
      </c>
      <c r="E6" s="331">
        <f t="shared" si="1"/>
        <v>23.342984538862101</v>
      </c>
      <c r="F6" s="330">
        <f>район!C7</f>
        <v>4367.8600000000006</v>
      </c>
      <c r="G6" s="330">
        <f>район!D7</f>
        <v>1019.5885499999999</v>
      </c>
      <c r="H6" s="331">
        <f t="shared" si="2"/>
        <v>23.342976881127136</v>
      </c>
      <c r="I6" s="330">
        <f>Справка!L31+Справка!R31+Справка!O31</f>
        <v>8056.84</v>
      </c>
      <c r="J6" s="330">
        <f>Справка!M31+Справка!S31+Справка!P31+Справка!V31</f>
        <v>1880.7072500000002</v>
      </c>
      <c r="K6" s="331">
        <f t="shared" si="3"/>
        <v>23.342988690355028</v>
      </c>
    </row>
    <row r="7" spans="1:15" ht="19.5" customHeight="1">
      <c r="A7" s="81" t="s">
        <v>187</v>
      </c>
      <c r="B7" s="77">
        <v>10500</v>
      </c>
      <c r="C7" s="330">
        <f t="shared" si="0"/>
        <v>13132</v>
      </c>
      <c r="D7" s="330">
        <f t="shared" si="0"/>
        <v>3184.2584999999999</v>
      </c>
      <c r="E7" s="331">
        <f t="shared" si="1"/>
        <v>24.248084830947302</v>
      </c>
      <c r="F7" s="330">
        <f>район!C12</f>
        <v>12752</v>
      </c>
      <c r="G7" s="330">
        <f>район!D12</f>
        <v>3010.96839</v>
      </c>
      <c r="H7" s="331">
        <f t="shared" si="2"/>
        <v>23.611734551442911</v>
      </c>
      <c r="I7" s="330">
        <f>Справка!X31</f>
        <v>380</v>
      </c>
      <c r="J7" s="330">
        <f>Справка!Y31</f>
        <v>173.29011000000003</v>
      </c>
      <c r="K7" s="331">
        <f t="shared" si="3"/>
        <v>45.602660526315795</v>
      </c>
    </row>
    <row r="8" spans="1:15" ht="19.5" customHeight="1">
      <c r="A8" s="81" t="s">
        <v>188</v>
      </c>
      <c r="B8" s="77">
        <v>10601</v>
      </c>
      <c r="C8" s="330">
        <f t="shared" si="0"/>
        <v>2750</v>
      </c>
      <c r="D8" s="330">
        <f t="shared" si="0"/>
        <v>118.49983</v>
      </c>
      <c r="E8" s="331">
        <f t="shared" si="1"/>
        <v>4.3090847272727277</v>
      </c>
      <c r="F8" s="330"/>
      <c r="G8" s="330"/>
      <c r="H8" s="331"/>
      <c r="I8" s="330">
        <f>Справка!AA31</f>
        <v>2750</v>
      </c>
      <c r="J8" s="330">
        <f>Справка!AB31</f>
        <v>118.49983</v>
      </c>
      <c r="K8" s="331">
        <f t="shared" si="3"/>
        <v>4.3090847272727277</v>
      </c>
    </row>
    <row r="9" spans="1:15" ht="19.5" customHeight="1">
      <c r="A9" s="81" t="s">
        <v>285</v>
      </c>
      <c r="B9" s="77">
        <v>10604</v>
      </c>
      <c r="C9" s="330">
        <f>F9</f>
        <v>1915</v>
      </c>
      <c r="D9" s="330">
        <f>G9</f>
        <v>186.96943999999999</v>
      </c>
      <c r="E9" s="331">
        <f t="shared" si="1"/>
        <v>9.7634172323759785</v>
      </c>
      <c r="F9" s="330">
        <f>район!C16</f>
        <v>1915</v>
      </c>
      <c r="G9" s="330">
        <f>район!D19</f>
        <v>186.96943999999999</v>
      </c>
      <c r="H9" s="331">
        <f t="shared" si="2"/>
        <v>9.7634172323759785</v>
      </c>
      <c r="I9" s="330"/>
      <c r="J9" s="330"/>
      <c r="K9" s="331"/>
    </row>
    <row r="10" spans="1:15" ht="19.5" customHeight="1">
      <c r="A10" s="81" t="s">
        <v>189</v>
      </c>
      <c r="B10" s="77">
        <v>10606</v>
      </c>
      <c r="C10" s="330">
        <f t="shared" ref="C10:D13" si="4">F10+I10</f>
        <v>17529.2</v>
      </c>
      <c r="D10" s="330">
        <f t="shared" si="4"/>
        <v>1676.3593100000001</v>
      </c>
      <c r="E10" s="331">
        <f t="shared" si="1"/>
        <v>9.5632391095999818</v>
      </c>
      <c r="F10" s="330"/>
      <c r="G10" s="330"/>
      <c r="H10" s="331">
        <v>0</v>
      </c>
      <c r="I10" s="330">
        <f>Справка!AD31</f>
        <v>17529.2</v>
      </c>
      <c r="J10" s="330">
        <f>Справка!AE31</f>
        <v>1676.3593100000001</v>
      </c>
      <c r="K10" s="331">
        <f t="shared" si="3"/>
        <v>9.5632391095999818</v>
      </c>
    </row>
    <row r="11" spans="1:15" ht="33.75" customHeight="1">
      <c r="A11" s="81" t="s">
        <v>190</v>
      </c>
      <c r="B11" s="77">
        <v>10701</v>
      </c>
      <c r="C11" s="330">
        <f t="shared" si="4"/>
        <v>399.14</v>
      </c>
      <c r="D11" s="330">
        <f t="shared" si="4"/>
        <v>9.9229999999999999E-2</v>
      </c>
      <c r="E11" s="331">
        <f t="shared" si="1"/>
        <v>2.4860951044746202E-2</v>
      </c>
      <c r="F11" s="330">
        <f>район!C21</f>
        <v>399.14</v>
      </c>
      <c r="G11" s="330">
        <f>район!D21</f>
        <v>9.9229999999999999E-2</v>
      </c>
      <c r="H11" s="331">
        <f t="shared" si="2"/>
        <v>2.4860951044746202E-2</v>
      </c>
      <c r="I11" s="330"/>
      <c r="J11" s="330"/>
      <c r="K11" s="331">
        <v>0</v>
      </c>
    </row>
    <row r="12" spans="1:15" ht="19.5" customHeight="1">
      <c r="A12" s="81" t="s">
        <v>191</v>
      </c>
      <c r="B12" s="77">
        <v>10800</v>
      </c>
      <c r="C12" s="330">
        <f t="shared" si="4"/>
        <v>2330.002</v>
      </c>
      <c r="D12" s="330">
        <f t="shared" si="4"/>
        <v>528.65106000000003</v>
      </c>
      <c r="E12" s="331">
        <f t="shared" si="1"/>
        <v>22.688867219856466</v>
      </c>
      <c r="F12" s="330">
        <f>район!C23</f>
        <v>2200</v>
      </c>
      <c r="G12" s="330">
        <f>район!D23</f>
        <v>489.15106000000003</v>
      </c>
      <c r="H12" s="331">
        <f t="shared" si="2"/>
        <v>22.234139090909093</v>
      </c>
      <c r="I12" s="330">
        <f>Справка!AG31</f>
        <v>130.00200000000001</v>
      </c>
      <c r="J12" s="330">
        <f>Справка!AH31</f>
        <v>39.500000000000007</v>
      </c>
      <c r="K12" s="331">
        <f t="shared" si="3"/>
        <v>30.384147936185602</v>
      </c>
    </row>
    <row r="13" spans="1:15" ht="19.5" customHeight="1">
      <c r="A13" s="81" t="s">
        <v>192</v>
      </c>
      <c r="B13" s="77">
        <v>10900</v>
      </c>
      <c r="C13" s="330">
        <f t="shared" si="4"/>
        <v>0</v>
      </c>
      <c r="D13" s="330">
        <f t="shared" si="4"/>
        <v>0</v>
      </c>
      <c r="E13" s="331"/>
      <c r="F13" s="330">
        <f>район!C27</f>
        <v>0</v>
      </c>
      <c r="G13" s="330">
        <f>район!D27</f>
        <v>0</v>
      </c>
      <c r="H13" s="331"/>
      <c r="I13" s="330">
        <f>Справка!AJ31</f>
        <v>0</v>
      </c>
      <c r="J13" s="330">
        <f>Справка!AK31</f>
        <v>0</v>
      </c>
      <c r="K13" s="331"/>
    </row>
    <row r="14" spans="1:15" s="80" customFormat="1" ht="27" customHeight="1">
      <c r="A14" s="79" t="s">
        <v>13</v>
      </c>
      <c r="B14" s="76"/>
      <c r="C14" s="329">
        <f>SUM(C15:C21)</f>
        <v>24668.3</v>
      </c>
      <c r="D14" s="329">
        <f>SUM(D15:D21)</f>
        <v>8286.6009700000013</v>
      </c>
      <c r="E14" s="329">
        <f t="shared" ref="E14:E39" si="5">D14/C14*100</f>
        <v>33.59210391474079</v>
      </c>
      <c r="F14" s="329">
        <f>F15+F16+F17+F18+F20+F21+F19</f>
        <v>22011</v>
      </c>
      <c r="G14" s="329">
        <f>G15+G16+G17+G18+G20+G21+G19</f>
        <v>7896.7435300000006</v>
      </c>
      <c r="H14" s="329">
        <f t="shared" si="2"/>
        <v>35.876350597428562</v>
      </c>
      <c r="I14" s="332">
        <f>I15+I16+I17+I18+I20+I21+I26</f>
        <v>2657.3</v>
      </c>
      <c r="J14" s="332">
        <f>J15+J16+J17+J18+J20+J21+J26</f>
        <v>389.85744</v>
      </c>
      <c r="K14" s="329">
        <f>J14/I14*100</f>
        <v>14.671186542731343</v>
      </c>
    </row>
    <row r="15" spans="1:15" ht="52.5" customHeight="1">
      <c r="A15" s="81" t="s">
        <v>193</v>
      </c>
      <c r="B15" s="77">
        <v>11100</v>
      </c>
      <c r="C15" s="330">
        <f t="shared" ref="C15:D22" si="6">F15+I15</f>
        <v>10421.299999999999</v>
      </c>
      <c r="D15" s="330">
        <f t="shared" si="6"/>
        <v>1976.9349100000004</v>
      </c>
      <c r="E15" s="330">
        <f t="shared" si="5"/>
        <v>18.970137218965011</v>
      </c>
      <c r="F15" s="330">
        <f>район!C33</f>
        <v>8600</v>
      </c>
      <c r="G15" s="330">
        <f>район!D33</f>
        <v>2172.1264100000003</v>
      </c>
      <c r="H15" s="330">
        <f t="shared" si="2"/>
        <v>25.257283837209304</v>
      </c>
      <c r="I15" s="330">
        <f>Справка!AP31+Справка!AS31+Справка!AM31</f>
        <v>1821.3</v>
      </c>
      <c r="J15" s="333">
        <f>Справка!AQ31+Справка!AT31+Справка!AN31</f>
        <v>-195.19150000000002</v>
      </c>
      <c r="K15" s="331">
        <f>J15/I15*100</f>
        <v>-10.717152583319608</v>
      </c>
    </row>
    <row r="16" spans="1:15" ht="33" customHeight="1">
      <c r="A16" s="81" t="s">
        <v>194</v>
      </c>
      <c r="B16" s="77">
        <v>11200</v>
      </c>
      <c r="C16" s="330">
        <f t="shared" si="6"/>
        <v>490</v>
      </c>
      <c r="D16" s="330">
        <f t="shared" si="6"/>
        <v>407.39963999999998</v>
      </c>
      <c r="E16" s="330">
        <f t="shared" si="5"/>
        <v>83.142783673469381</v>
      </c>
      <c r="F16" s="330">
        <f>район!C41</f>
        <v>490</v>
      </c>
      <c r="G16" s="330">
        <f>район!D41</f>
        <v>407.39963999999998</v>
      </c>
      <c r="H16" s="330">
        <f t="shared" si="2"/>
        <v>83.142783673469381</v>
      </c>
      <c r="I16" s="330"/>
      <c r="J16" s="333"/>
      <c r="K16" s="331"/>
    </row>
    <row r="17" spans="1:13" ht="33" customHeight="1">
      <c r="A17" s="81" t="s">
        <v>195</v>
      </c>
      <c r="B17" s="77">
        <v>11300</v>
      </c>
      <c r="C17" s="330">
        <f t="shared" si="6"/>
        <v>709</v>
      </c>
      <c r="D17" s="330">
        <f t="shared" si="6"/>
        <v>248.79444999999998</v>
      </c>
      <c r="E17" s="330">
        <f>D17/C17*100</f>
        <v>35.090895627644571</v>
      </c>
      <c r="F17" s="330">
        <f>район!C43</f>
        <v>459</v>
      </c>
      <c r="G17" s="330">
        <f>район!D43</f>
        <v>50.201279999999997</v>
      </c>
      <c r="H17" s="330">
        <f t="shared" si="2"/>
        <v>10.937098039215686</v>
      </c>
      <c r="I17" s="330">
        <f>Справка!AY31</f>
        <v>250</v>
      </c>
      <c r="J17" s="333">
        <f>Справка!AZ31</f>
        <v>198.59316999999999</v>
      </c>
      <c r="K17" s="331">
        <f>J17/I17*100</f>
        <v>79.437267999999989</v>
      </c>
    </row>
    <row r="18" spans="1:13" ht="33" customHeight="1">
      <c r="A18" s="81" t="s">
        <v>196</v>
      </c>
      <c r="B18" s="77">
        <v>11400</v>
      </c>
      <c r="C18" s="330">
        <f t="shared" si="6"/>
        <v>4086</v>
      </c>
      <c r="D18" s="330">
        <f t="shared" si="6"/>
        <v>815.35609999999997</v>
      </c>
      <c r="E18" s="330">
        <f t="shared" si="5"/>
        <v>19.954872736172295</v>
      </c>
      <c r="F18" s="330">
        <f>район!C46</f>
        <v>3500</v>
      </c>
      <c r="G18" s="330">
        <f>район!D46</f>
        <v>341.35610000000003</v>
      </c>
      <c r="H18" s="330">
        <f t="shared" si="2"/>
        <v>9.753031428571429</v>
      </c>
      <c r="I18" s="330">
        <f>Справка!BE31</f>
        <v>586</v>
      </c>
      <c r="J18" s="333">
        <f>Справка!BF31</f>
        <v>474</v>
      </c>
      <c r="K18" s="331">
        <f>J18/I18*100</f>
        <v>80.887372013651884</v>
      </c>
    </row>
    <row r="19" spans="1:13" ht="23.25" customHeight="1">
      <c r="A19" s="81" t="s">
        <v>251</v>
      </c>
      <c r="B19" s="77">
        <v>11500</v>
      </c>
      <c r="C19" s="330">
        <f t="shared" si="6"/>
        <v>0</v>
      </c>
      <c r="D19" s="330">
        <f t="shared" si="6"/>
        <v>0</v>
      </c>
      <c r="E19" s="330"/>
      <c r="F19" s="330">
        <f>район!C49</f>
        <v>0</v>
      </c>
      <c r="G19" s="330">
        <f>район!D49</f>
        <v>0</v>
      </c>
      <c r="H19" s="330"/>
      <c r="I19" s="330"/>
      <c r="J19" s="333"/>
      <c r="K19" s="331"/>
    </row>
    <row r="20" spans="1:13" ht="22.5" customHeight="1">
      <c r="A20" s="81" t="s">
        <v>197</v>
      </c>
      <c r="B20" s="77">
        <v>11600</v>
      </c>
      <c r="C20" s="330">
        <f t="shared" si="6"/>
        <v>8962</v>
      </c>
      <c r="D20" s="330">
        <f t="shared" si="6"/>
        <v>4925.6601000000001</v>
      </c>
      <c r="E20" s="330">
        <f t="shared" si="5"/>
        <v>54.961616826601201</v>
      </c>
      <c r="F20" s="330">
        <f>район!C51</f>
        <v>8962</v>
      </c>
      <c r="G20" s="330">
        <f>район!D51</f>
        <v>4925.6601000000001</v>
      </c>
      <c r="H20" s="330">
        <f t="shared" si="2"/>
        <v>54.961616826601201</v>
      </c>
      <c r="I20" s="330">
        <f>Справка!BN31</f>
        <v>0</v>
      </c>
      <c r="J20" s="333">
        <f>Справка!BO31</f>
        <v>0</v>
      </c>
      <c r="K20" s="331">
        <v>0</v>
      </c>
    </row>
    <row r="21" spans="1:13" ht="31.5" customHeight="1">
      <c r="A21" s="81" t="s">
        <v>198</v>
      </c>
      <c r="B21" s="77">
        <v>11700</v>
      </c>
      <c r="C21" s="330">
        <f t="shared" si="6"/>
        <v>0</v>
      </c>
      <c r="D21" s="330">
        <f t="shared" si="6"/>
        <v>-87.544229999999999</v>
      </c>
      <c r="E21" s="330"/>
      <c r="F21" s="330">
        <f>район!C68</f>
        <v>0</v>
      </c>
      <c r="G21" s="330">
        <f>район!D68</f>
        <v>0</v>
      </c>
      <c r="H21" s="330"/>
      <c r="I21" s="330">
        <f>Справка!BQ31</f>
        <v>0</v>
      </c>
      <c r="J21" s="333">
        <f>Справка!BR31</f>
        <v>-87.544229999999999</v>
      </c>
      <c r="K21" s="331">
        <v>0</v>
      </c>
    </row>
    <row r="22" spans="1:13" ht="45.75" hidden="1" customHeight="1">
      <c r="A22" s="79" t="s">
        <v>199</v>
      </c>
      <c r="B22" s="76">
        <v>30000</v>
      </c>
      <c r="C22" s="329">
        <f t="shared" si="6"/>
        <v>0</v>
      </c>
      <c r="D22" s="329">
        <f t="shared" si="6"/>
        <v>0</v>
      </c>
      <c r="E22" s="329"/>
      <c r="F22" s="329">
        <v>0</v>
      </c>
      <c r="G22" s="329">
        <v>0</v>
      </c>
      <c r="H22" s="329"/>
      <c r="I22" s="329">
        <v>0</v>
      </c>
      <c r="J22" s="329">
        <v>0</v>
      </c>
      <c r="K22" s="329"/>
    </row>
    <row r="23" spans="1:13" ht="36.75" customHeight="1">
      <c r="A23" s="79" t="s">
        <v>19</v>
      </c>
      <c r="B23" s="76">
        <v>10000</v>
      </c>
      <c r="C23" s="332">
        <f>SUM(C4,C14,C22,)</f>
        <v>184945.242</v>
      </c>
      <c r="D23" s="332">
        <f>SUM(D4,D14,)</f>
        <v>40956.231639999998</v>
      </c>
      <c r="E23" s="329">
        <f t="shared" si="5"/>
        <v>22.145058287036115</v>
      </c>
      <c r="F23" s="332">
        <f>SUM(F4,F14,)</f>
        <v>148335</v>
      </c>
      <c r="G23" s="334">
        <f>SUM(G4,G14,G22)</f>
        <v>35560.118020000002</v>
      </c>
      <c r="H23" s="329">
        <f t="shared" si="2"/>
        <v>23.972843914113326</v>
      </c>
      <c r="I23" s="332">
        <f>I4+I14</f>
        <v>36610.242000000006</v>
      </c>
      <c r="J23" s="332">
        <f>J4+J14</f>
        <v>5396.1136200000001</v>
      </c>
      <c r="K23" s="329">
        <f>J23/I23*100</f>
        <v>14.739355232888107</v>
      </c>
    </row>
    <row r="24" spans="1:13" ht="33" customHeight="1">
      <c r="A24" s="79" t="s">
        <v>200</v>
      </c>
      <c r="B24" s="76">
        <v>20200</v>
      </c>
      <c r="C24" s="335">
        <v>572198.35958000005</v>
      </c>
      <c r="D24" s="335">
        <v>94769.171059999993</v>
      </c>
      <c r="E24" s="332">
        <f t="shared" si="5"/>
        <v>16.562293385385029</v>
      </c>
      <c r="F24" s="332">
        <f>район!C72</f>
        <v>592536.7895800001</v>
      </c>
      <c r="G24" s="332">
        <f>район!D72</f>
        <v>99864.910649999991</v>
      </c>
      <c r="H24" s="329">
        <f t="shared" si="2"/>
        <v>16.85379075293973</v>
      </c>
      <c r="I24" s="332">
        <f>Справка!BZ31</f>
        <v>63540.82338999999</v>
      </c>
      <c r="J24" s="332">
        <f>Справка!CA31</f>
        <v>11756.418380000001</v>
      </c>
      <c r="K24" s="329">
        <f t="shared" ref="K24:K38" si="7">J24/I24*100</f>
        <v>18.50214988219718</v>
      </c>
    </row>
    <row r="25" spans="1:13" ht="33" customHeight="1">
      <c r="A25" s="79" t="s">
        <v>303</v>
      </c>
      <c r="B25" s="76">
        <v>20700</v>
      </c>
      <c r="C25" s="336">
        <f>F25+I25</f>
        <v>2310.0029999999997</v>
      </c>
      <c r="D25" s="336">
        <f>G25+J25</f>
        <v>1368.41597</v>
      </c>
      <c r="E25" s="332">
        <f t="shared" si="5"/>
        <v>59.238709646697444</v>
      </c>
      <c r="F25" s="332"/>
      <c r="G25" s="332"/>
      <c r="H25" s="329"/>
      <c r="I25" s="332">
        <f>Справка!CR31</f>
        <v>2310.0029999999997</v>
      </c>
      <c r="J25" s="332">
        <f>Справка!CS31</f>
        <v>1368.41597</v>
      </c>
      <c r="K25" s="329">
        <f t="shared" si="7"/>
        <v>59.238709646697444</v>
      </c>
    </row>
    <row r="26" spans="1:13" ht="33" customHeight="1">
      <c r="A26" s="79" t="s">
        <v>263</v>
      </c>
      <c r="B26" s="77">
        <v>21900</v>
      </c>
      <c r="C26" s="336">
        <f>F26+I26</f>
        <v>-4.22</v>
      </c>
      <c r="D26" s="336">
        <f>G26+J26</f>
        <v>-4.22</v>
      </c>
      <c r="E26" s="332">
        <f t="shared" si="5"/>
        <v>100</v>
      </c>
      <c r="F26" s="331">
        <f>район!C80</f>
        <v>-4.22</v>
      </c>
      <c r="G26" s="331">
        <f>район!D80</f>
        <v>-4.22</v>
      </c>
      <c r="H26" s="329">
        <f t="shared" si="2"/>
        <v>100</v>
      </c>
      <c r="I26" s="331">
        <v>0</v>
      </c>
      <c r="J26" s="331">
        <v>0</v>
      </c>
      <c r="K26" s="331">
        <v>0</v>
      </c>
      <c r="L26" s="83"/>
    </row>
    <row r="27" spans="1:13" ht="29.25" customHeight="1">
      <c r="A27" s="76" t="s">
        <v>201</v>
      </c>
      <c r="B27" s="76"/>
      <c r="C27" s="338">
        <f>C24+C23+C26</f>
        <v>757139.38158000004</v>
      </c>
      <c r="D27" s="338">
        <f>D24+D23+D26+D25</f>
        <v>137089.59866999998</v>
      </c>
      <c r="E27" s="338">
        <f t="shared" si="5"/>
        <v>18.106256523590293</v>
      </c>
      <c r="F27" s="338">
        <f>F24+F23</f>
        <v>740871.7895800001</v>
      </c>
      <c r="G27" s="338">
        <f>G24+G23</f>
        <v>135425.02867</v>
      </c>
      <c r="H27" s="338">
        <f t="shared" si="2"/>
        <v>18.27914499845815</v>
      </c>
      <c r="I27" s="338">
        <f>I24+I23</f>
        <v>100151.06539</v>
      </c>
      <c r="J27" s="338">
        <f>J24+J23</f>
        <v>17152.531999999999</v>
      </c>
      <c r="K27" s="337">
        <f t="shared" si="7"/>
        <v>17.126659544964426</v>
      </c>
      <c r="L27" s="95"/>
      <c r="M27" s="83"/>
    </row>
    <row r="28" spans="1:13" ht="29.25" customHeight="1">
      <c r="A28" s="76" t="s">
        <v>202</v>
      </c>
      <c r="B28" s="76"/>
      <c r="C28" s="338">
        <f>C29+C30+C31+C32+C33+C34+C35+C36+C37+C41+C38+C39+C40</f>
        <v>774867.3310499998</v>
      </c>
      <c r="D28" s="338">
        <f>SUM(D29:D41)</f>
        <v>129059.13579000001</v>
      </c>
      <c r="E28" s="338">
        <f t="shared" si="5"/>
        <v>16.655642923429976</v>
      </c>
      <c r="F28" s="338">
        <f>SUM(F29+F30+F31+F32+F33+F34+F35+F36+F37+F38+F39+F40+F41)</f>
        <v>750802.41957999987</v>
      </c>
      <c r="G28" s="338">
        <f>SUM(G29:G41)</f>
        <v>129817.42067000001</v>
      </c>
      <c r="H28" s="338">
        <f t="shared" si="2"/>
        <v>17.290490451884811</v>
      </c>
      <c r="I28" s="338">
        <f>I29+I30+I31+I32+I33+I34+I35+I36+I37+I38+I39+I40+I41</f>
        <v>105638.38185999999</v>
      </c>
      <c r="J28" s="338">
        <f>J29+J30+J31+J32+J33+J34+J35+J36+J37+J38+J39+J40+J41</f>
        <v>14729.67712</v>
      </c>
      <c r="K28" s="337">
        <f t="shared" si="7"/>
        <v>13.943489914036061</v>
      </c>
      <c r="L28" s="95"/>
    </row>
    <row r="29" spans="1:13" ht="30.75" customHeight="1">
      <c r="A29" s="81" t="s">
        <v>203</v>
      </c>
      <c r="B29" s="82" t="s">
        <v>30</v>
      </c>
      <c r="C29" s="339">
        <v>58636.249000000003</v>
      </c>
      <c r="D29" s="339">
        <v>11859.434939999999</v>
      </c>
      <c r="E29" s="340">
        <f t="shared" si="5"/>
        <v>20.225432462434625</v>
      </c>
      <c r="F29" s="330">
        <f>район!C87</f>
        <v>36743.703999999998</v>
      </c>
      <c r="G29" s="340">
        <f>район!D87</f>
        <v>7663.2464300000011</v>
      </c>
      <c r="H29" s="341">
        <f t="shared" si="2"/>
        <v>20.855944272792971</v>
      </c>
      <c r="I29" s="341">
        <f>Справка!DJ31</f>
        <v>21892.544999999998</v>
      </c>
      <c r="J29" s="341">
        <f>Справка!DK31</f>
        <v>4196.18851</v>
      </c>
      <c r="K29" s="341">
        <f t="shared" si="7"/>
        <v>19.167202853756841</v>
      </c>
    </row>
    <row r="30" spans="1:13" ht="30.75" customHeight="1">
      <c r="A30" s="81" t="s">
        <v>204</v>
      </c>
      <c r="B30" s="82" t="s">
        <v>46</v>
      </c>
      <c r="C30" s="336">
        <f>I30</f>
        <v>1781.5</v>
      </c>
      <c r="D30" s="336">
        <f>J30</f>
        <v>308.41641999999996</v>
      </c>
      <c r="E30" s="340">
        <f t="shared" si="5"/>
        <v>17.312176255964072</v>
      </c>
      <c r="F30" s="330">
        <f>район!C95</f>
        <v>1781.5</v>
      </c>
      <c r="G30" s="340">
        <f>район!D95</f>
        <v>432.67</v>
      </c>
      <c r="H30" s="341">
        <f t="shared" si="2"/>
        <v>24.286836935166995</v>
      </c>
      <c r="I30" s="341">
        <f>Справка!DY31</f>
        <v>1781.5</v>
      </c>
      <c r="J30" s="341">
        <f>Справка!DZ31</f>
        <v>308.41641999999996</v>
      </c>
      <c r="K30" s="341">
        <f t="shared" si="7"/>
        <v>17.312176255964072</v>
      </c>
    </row>
    <row r="31" spans="1:13" ht="33" customHeight="1">
      <c r="A31" s="81" t="s">
        <v>205</v>
      </c>
      <c r="B31" s="82" t="s">
        <v>50</v>
      </c>
      <c r="C31" s="339">
        <v>4445.5829999999996</v>
      </c>
      <c r="D31" s="339">
        <v>736.07640000000004</v>
      </c>
      <c r="E31" s="340">
        <f t="shared" si="5"/>
        <v>16.557477388230073</v>
      </c>
      <c r="F31" s="330">
        <f>район!C97</f>
        <v>4278.4830000000002</v>
      </c>
      <c r="G31" s="340">
        <f>район!D97</f>
        <v>722.52539999999999</v>
      </c>
      <c r="H31" s="341">
        <f t="shared" si="2"/>
        <v>16.887420144008985</v>
      </c>
      <c r="I31" s="341">
        <f>Справка!EB31</f>
        <v>167.1</v>
      </c>
      <c r="J31" s="341">
        <f>Справка!EC31</f>
        <v>13.551</v>
      </c>
      <c r="K31" s="341">
        <f t="shared" si="7"/>
        <v>8.1095152603231604</v>
      </c>
    </row>
    <row r="32" spans="1:13" ht="30" customHeight="1">
      <c r="A32" s="81" t="s">
        <v>206</v>
      </c>
      <c r="B32" s="82" t="s">
        <v>58</v>
      </c>
      <c r="C32" s="339">
        <v>196226.27247</v>
      </c>
      <c r="D32" s="339">
        <v>8024.2228100000002</v>
      </c>
      <c r="E32" s="340">
        <f t="shared" si="5"/>
        <v>4.0892703657848779</v>
      </c>
      <c r="F32" s="330">
        <f>район!C102</f>
        <v>179068.12</v>
      </c>
      <c r="G32" s="340">
        <f>район!D102</f>
        <v>5187.7975399999996</v>
      </c>
      <c r="H32" s="341">
        <f t="shared" si="2"/>
        <v>2.8971083965141311</v>
      </c>
      <c r="I32" s="341">
        <f>Справка!EE31</f>
        <v>30842.672469999998</v>
      </c>
      <c r="J32" s="341">
        <f>Справка!EF31</f>
        <v>2836.4252700000002</v>
      </c>
      <c r="K32" s="341">
        <f t="shared" si="7"/>
        <v>9.1964315762809772</v>
      </c>
    </row>
    <row r="33" spans="1:12" ht="30" customHeight="1">
      <c r="A33" s="81" t="s">
        <v>207</v>
      </c>
      <c r="B33" s="82" t="s">
        <v>68</v>
      </c>
      <c r="C33" s="339">
        <v>19619.028149999998</v>
      </c>
      <c r="D33" s="339">
        <v>1751.3958299999999</v>
      </c>
      <c r="E33" s="340">
        <f t="shared" si="5"/>
        <v>8.9270264388707758</v>
      </c>
      <c r="F33" s="330">
        <f>район!C107</f>
        <v>7262.2081500000004</v>
      </c>
      <c r="G33" s="340">
        <f>район!D107</f>
        <v>31.404720000000001</v>
      </c>
      <c r="H33" s="341">
        <f t="shared" si="2"/>
        <v>0.43244037283618753</v>
      </c>
      <c r="I33" s="341">
        <f>Справка!EH31</f>
        <v>18041.926390000001</v>
      </c>
      <c r="J33" s="341">
        <f>Справка!EI31</f>
        <v>1719.9911100000002</v>
      </c>
      <c r="K33" s="341">
        <f t="shared" si="7"/>
        <v>9.5333007840744219</v>
      </c>
    </row>
    <row r="34" spans="1:12" ht="30" customHeight="1">
      <c r="A34" s="81" t="s">
        <v>208</v>
      </c>
      <c r="B34" s="82" t="s">
        <v>76</v>
      </c>
      <c r="C34" s="336">
        <f>F34</f>
        <v>51</v>
      </c>
      <c r="D34" s="336">
        <f>G34</f>
        <v>0</v>
      </c>
      <c r="E34" s="340">
        <f t="shared" si="5"/>
        <v>0</v>
      </c>
      <c r="F34" s="330">
        <f>район!C111</f>
        <v>51</v>
      </c>
      <c r="G34" s="340">
        <f>район!D111</f>
        <v>0</v>
      </c>
      <c r="H34" s="341">
        <f t="shared" si="2"/>
        <v>0</v>
      </c>
      <c r="I34" s="340"/>
      <c r="J34" s="340"/>
      <c r="K34" s="341">
        <v>0</v>
      </c>
    </row>
    <row r="35" spans="1:12" ht="30" customHeight="1">
      <c r="A35" s="81" t="s">
        <v>209</v>
      </c>
      <c r="B35" s="82" t="s">
        <v>80</v>
      </c>
      <c r="C35" s="336">
        <f>F35</f>
        <v>401917.98499999999</v>
      </c>
      <c r="D35" s="336">
        <f>G35</f>
        <v>91947.741380000007</v>
      </c>
      <c r="E35" s="340">
        <f t="shared" si="5"/>
        <v>22.877239837873891</v>
      </c>
      <c r="F35" s="330">
        <f>район!C113</f>
        <v>401917.98499999999</v>
      </c>
      <c r="G35" s="340">
        <f>район!D113</f>
        <v>91947.741380000007</v>
      </c>
      <c r="H35" s="341">
        <f t="shared" si="2"/>
        <v>22.877239837873891</v>
      </c>
      <c r="I35" s="340"/>
      <c r="J35" s="340"/>
      <c r="K35" s="341">
        <v>0</v>
      </c>
    </row>
    <row r="36" spans="1:12" ht="30" customHeight="1">
      <c r="A36" s="81" t="s">
        <v>210</v>
      </c>
      <c r="B36" s="82" t="s">
        <v>86</v>
      </c>
      <c r="C36" s="339">
        <v>52083.688430000002</v>
      </c>
      <c r="D36" s="339">
        <v>10905.8845</v>
      </c>
      <c r="E36" s="340">
        <f t="shared" si="5"/>
        <v>20.939155479853174</v>
      </c>
      <c r="F36" s="330">
        <f>район!C119</f>
        <v>46147.400430000002</v>
      </c>
      <c r="G36" s="340">
        <f>район!D119</f>
        <v>10403.45469</v>
      </c>
      <c r="H36" s="341">
        <f t="shared" si="2"/>
        <v>22.543966925679328</v>
      </c>
      <c r="I36" s="341">
        <f>Справка!EK31</f>
        <v>32675.638000000003</v>
      </c>
      <c r="J36" s="341">
        <f>Справка!EL31</f>
        <v>5600.2218099999991</v>
      </c>
      <c r="K36" s="341">
        <f t="shared" si="7"/>
        <v>17.138829270908186</v>
      </c>
      <c r="L36" s="83"/>
    </row>
    <row r="37" spans="1:12" ht="30" customHeight="1">
      <c r="A37" s="81" t="s">
        <v>211</v>
      </c>
      <c r="B37" s="82" t="s">
        <v>212</v>
      </c>
      <c r="C37" s="339">
        <v>30977.825000000001</v>
      </c>
      <c r="D37" s="339">
        <v>1865.6745100000001</v>
      </c>
      <c r="E37" s="340">
        <f t="shared" si="5"/>
        <v>6.0226129820282734</v>
      </c>
      <c r="F37" s="330">
        <f>район!C122</f>
        <v>30977.825000000001</v>
      </c>
      <c r="G37" s="340">
        <f>район!D122</f>
        <v>1865.6745099999998</v>
      </c>
      <c r="H37" s="341">
        <f t="shared" si="2"/>
        <v>6.0226129820282726</v>
      </c>
      <c r="I37" s="341">
        <f>Справка!EN31</f>
        <v>0</v>
      </c>
      <c r="J37" s="341">
        <f>Справка!EO31</f>
        <v>0</v>
      </c>
      <c r="K37" s="341"/>
    </row>
    <row r="38" spans="1:12" ht="30" customHeight="1">
      <c r="A38" s="81" t="s">
        <v>213</v>
      </c>
      <c r="B38" s="82" t="s">
        <v>95</v>
      </c>
      <c r="C38" s="339">
        <v>9048.2000000000007</v>
      </c>
      <c r="D38" s="339">
        <v>1660.289</v>
      </c>
      <c r="E38" s="340">
        <f t="shared" si="5"/>
        <v>18.349384407948541</v>
      </c>
      <c r="F38" s="330">
        <f>район!C127</f>
        <v>8811.2000000000007</v>
      </c>
      <c r="G38" s="340">
        <f>район!D127</f>
        <v>1605.4059999999999</v>
      </c>
      <c r="H38" s="341">
        <f t="shared" si="2"/>
        <v>18.220060831668782</v>
      </c>
      <c r="I38" s="341">
        <f>Справка!EQ31</f>
        <v>237</v>
      </c>
      <c r="J38" s="341">
        <f>Справка!ER31</f>
        <v>54.883000000000003</v>
      </c>
      <c r="K38" s="341">
        <f t="shared" si="7"/>
        <v>23.157383966244726</v>
      </c>
    </row>
    <row r="39" spans="1:12" ht="30" customHeight="1">
      <c r="A39" s="81" t="s">
        <v>214</v>
      </c>
      <c r="B39" s="82" t="s">
        <v>107</v>
      </c>
      <c r="C39" s="330">
        <f>F39</f>
        <v>80</v>
      </c>
      <c r="D39" s="342">
        <f>G39</f>
        <v>0</v>
      </c>
      <c r="E39" s="340">
        <f t="shared" si="5"/>
        <v>0</v>
      </c>
      <c r="F39" s="330">
        <f>район!C133</f>
        <v>80</v>
      </c>
      <c r="G39" s="340">
        <f>район!D133</f>
        <v>0</v>
      </c>
      <c r="H39" s="341">
        <f t="shared" si="2"/>
        <v>0</v>
      </c>
      <c r="I39" s="341"/>
      <c r="J39" s="341"/>
      <c r="K39" s="341">
        <v>0</v>
      </c>
    </row>
    <row r="40" spans="1:12" ht="34.5" customHeight="1">
      <c r="A40" s="81" t="s">
        <v>215</v>
      </c>
      <c r="B40" s="82" t="s">
        <v>111</v>
      </c>
      <c r="C40" s="330">
        <f>F40</f>
        <v>0</v>
      </c>
      <c r="D40" s="342">
        <f>G40</f>
        <v>0</v>
      </c>
      <c r="E40" s="340"/>
      <c r="F40" s="330">
        <f>район!C135</f>
        <v>0</v>
      </c>
      <c r="G40" s="340">
        <f>район!D135</f>
        <v>0</v>
      </c>
      <c r="H40" s="341">
        <v>0</v>
      </c>
      <c r="I40" s="341"/>
      <c r="J40" s="343"/>
      <c r="K40" s="341">
        <v>0</v>
      </c>
    </row>
    <row r="41" spans="1:12" ht="30" customHeight="1">
      <c r="A41" s="81" t="s">
        <v>216</v>
      </c>
      <c r="B41" s="82" t="s">
        <v>217</v>
      </c>
      <c r="C41" s="330">
        <v>0</v>
      </c>
      <c r="D41" s="342"/>
      <c r="E41" s="340">
        <v>0</v>
      </c>
      <c r="F41" s="330">
        <f>район!C137</f>
        <v>33682.993999999999</v>
      </c>
      <c r="G41" s="340">
        <f>район!D137</f>
        <v>9957.5</v>
      </c>
      <c r="H41" s="341">
        <f t="shared" si="2"/>
        <v>29.56239578940043</v>
      </c>
      <c r="I41" s="341">
        <f>Справка!ET31</f>
        <v>0</v>
      </c>
      <c r="J41" s="343">
        <f>Справка!EU31</f>
        <v>0</v>
      </c>
      <c r="K41" s="341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-17727.949469999759</v>
      </c>
      <c r="D43" s="139">
        <f>D27-D28</f>
        <v>8030.4628799999628</v>
      </c>
      <c r="E43" s="139"/>
      <c r="F43" s="139">
        <f>F27-F28</f>
        <v>-9930.6299999997718</v>
      </c>
      <c r="G43" s="139">
        <f>G27-G28</f>
        <v>5607.6079999999929</v>
      </c>
      <c r="H43" s="139"/>
      <c r="I43" s="139">
        <f>I27-I28</f>
        <v>-5487.3164699999907</v>
      </c>
      <c r="J43" s="139">
        <f>J27-J28</f>
        <v>2422.854879999999</v>
      </c>
      <c r="K43" s="139"/>
    </row>
    <row r="44" spans="1:12" hidden="1">
      <c r="A44" s="140"/>
      <c r="B44" s="141"/>
      <c r="C44" s="139">
        <f>C43-F44</f>
        <v>-2310.002999999997</v>
      </c>
      <c r="D44" s="139">
        <f>D43-G44</f>
        <v>-2.9103830456733704E-11</v>
      </c>
      <c r="E44" s="139"/>
      <c r="F44" s="139">
        <f>F43+I43</f>
        <v>-15417.946469999762</v>
      </c>
      <c r="G44" s="139">
        <f>G43+J43</f>
        <v>8030.4628799999919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574508.36258000007</v>
      </c>
      <c r="G45" s="143">
        <f>D28+G44-D23-D26</f>
        <v>96137.58703000001</v>
      </c>
      <c r="H45" s="137"/>
      <c r="I45" s="137"/>
      <c r="J45" s="137"/>
      <c r="K45" s="139"/>
    </row>
    <row r="46" spans="1:12">
      <c r="A46" s="140"/>
      <c r="B46" s="141"/>
      <c r="C46" s="360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395"/>
      <c r="E50" s="395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A54C432C-6C68-4B53-A75C-446EB3A61B2B}" scale="80" showPageBreaks="1" printArea="1" hiddenRows="1" view="pageBreakPreview">
      <selection activeCell="C29" sqref="C29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4" orientation="landscape" r:id="rId1"/>
    </customSheetView>
    <customSheetView guid="{5BFCA170-DEAE-4D2C-98A0-1E68B427AC01}" scale="80" showPageBreaks="1" printArea="1" hiddenRows="1" view="pageBreakPreview" topLeftCell="A16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4" orientation="landscape" r:id="rId2"/>
    </customSheetView>
    <customSheetView guid="{42584DC0-1D41-4C93-9B38-C388E7B8DAC4}" scale="80" showPageBreaks="1" printArea="1" hiddenRows="1" view="pageBreakPreview" topLeftCell="A16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4" orientation="landscape" r:id="rId3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4" orientation="landscape" r:id="rId4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0.8554687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379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270.22577000000001</v>
      </c>
      <c r="E4" s="5">
        <f>SUM(D4/C4*100)</f>
        <v>10.744563419483102</v>
      </c>
      <c r="F4" s="5">
        <f>SUM(D4-C4)</f>
        <v>-2244.77423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47.47381</v>
      </c>
      <c r="E5" s="5">
        <f t="shared" ref="E5:E51" si="0">SUM(D5/C5*100)</f>
        <v>18.099050705299273</v>
      </c>
      <c r="F5" s="5">
        <f t="shared" ref="F5:F51" si="1">SUM(D5-C5)</f>
        <v>-214.82619</v>
      </c>
    </row>
    <row r="6" spans="1:6">
      <c r="A6" s="7">
        <v>1010200001</v>
      </c>
      <c r="B6" s="8" t="s">
        <v>229</v>
      </c>
      <c r="C6" s="9">
        <v>262.3</v>
      </c>
      <c r="D6" s="10">
        <v>47.47381</v>
      </c>
      <c r="E6" s="9">
        <f t="shared" ref="E6:E11" si="2">SUM(D6/C6*100)</f>
        <v>18.099050705299273</v>
      </c>
      <c r="F6" s="9">
        <f t="shared" si="1"/>
        <v>-214.82619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98.669870000000003</v>
      </c>
      <c r="E7" s="9">
        <f t="shared" si="2"/>
        <v>23.342765554766977</v>
      </c>
      <c r="F7" s="9">
        <f t="shared" si="1"/>
        <v>-324.03012999999999</v>
      </c>
    </row>
    <row r="8" spans="1:6">
      <c r="A8" s="7">
        <v>1030223001</v>
      </c>
      <c r="B8" s="8" t="s">
        <v>283</v>
      </c>
      <c r="C8" s="9">
        <v>157.66999999999999</v>
      </c>
      <c r="D8" s="10">
        <v>40.650379999999998</v>
      </c>
      <c r="E8" s="9">
        <f t="shared" si="2"/>
        <v>25.781936956935375</v>
      </c>
      <c r="F8" s="9">
        <f t="shared" si="1"/>
        <v>-117.01961999999999</v>
      </c>
    </row>
    <row r="9" spans="1:6">
      <c r="A9" s="7">
        <v>1030224001</v>
      </c>
      <c r="B9" s="8" t="s">
        <v>289</v>
      </c>
      <c r="C9" s="9">
        <v>1.7</v>
      </c>
      <c r="D9" s="10">
        <v>0.27403</v>
      </c>
      <c r="E9" s="9">
        <f t="shared" si="2"/>
        <v>16.11941176470588</v>
      </c>
      <c r="F9" s="9">
        <f t="shared" si="1"/>
        <v>-1.42597</v>
      </c>
    </row>
    <row r="10" spans="1:6">
      <c r="A10" s="7">
        <v>1030225001</v>
      </c>
      <c r="B10" s="8" t="s">
        <v>282</v>
      </c>
      <c r="C10" s="9">
        <v>263.33</v>
      </c>
      <c r="D10" s="10">
        <v>66.21593</v>
      </c>
      <c r="E10" s="9">
        <f t="shared" si="2"/>
        <v>25.145608172255347</v>
      </c>
      <c r="F10" s="9">
        <f t="shared" si="1"/>
        <v>-197.11406999999997</v>
      </c>
    </row>
    <row r="11" spans="1:6">
      <c r="A11" s="7">
        <v>1030265001</v>
      </c>
      <c r="B11" s="8" t="s">
        <v>291</v>
      </c>
      <c r="C11" s="9">
        <v>0</v>
      </c>
      <c r="D11" s="10">
        <v>-8.4704700000000006</v>
      </c>
      <c r="E11" s="9" t="e">
        <f t="shared" si="2"/>
        <v>#DIV/0!</v>
      </c>
      <c r="F11" s="9">
        <f t="shared" si="1"/>
        <v>-8.4704700000000006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9.9703199999999992</v>
      </c>
      <c r="E12" s="5">
        <f t="shared" si="0"/>
        <v>24.925799999999999</v>
      </c>
      <c r="F12" s="5">
        <f t="shared" si="1"/>
        <v>-30.029679999999999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9.9703199999999992</v>
      </c>
      <c r="E13" s="9">
        <f t="shared" si="0"/>
        <v>24.925799999999999</v>
      </c>
      <c r="F13" s="9">
        <f t="shared" si="1"/>
        <v>-30.029679999999999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112.31177</v>
      </c>
      <c r="E14" s="5">
        <f t="shared" si="0"/>
        <v>6.3096499999999995</v>
      </c>
      <c r="F14" s="5">
        <f t="shared" si="1"/>
        <v>-1667.68823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6.2450599999999996</v>
      </c>
      <c r="E15" s="9">
        <f t="shared" si="0"/>
        <v>3.9031625000000001</v>
      </c>
      <c r="F15" s="9">
        <f>SUM(D15-C15)</f>
        <v>-153.75494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106.06671</v>
      </c>
      <c r="E16" s="9">
        <f t="shared" si="0"/>
        <v>6.5473277777777783</v>
      </c>
      <c r="F16" s="9">
        <f t="shared" si="1"/>
        <v>-1513.9332899999999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1.8</v>
      </c>
      <c r="E17" s="5">
        <f t="shared" si="0"/>
        <v>18</v>
      </c>
      <c r="F17" s="5">
        <f t="shared" si="1"/>
        <v>-8.1999999999999993</v>
      </c>
    </row>
    <row r="18" spans="1:6">
      <c r="A18" s="7">
        <v>1080400001</v>
      </c>
      <c r="B18" s="8" t="s">
        <v>228</v>
      </c>
      <c r="C18" s="9">
        <v>10</v>
      </c>
      <c r="D18" s="9">
        <v>1.8</v>
      </c>
      <c r="E18" s="9">
        <f t="shared" si="0"/>
        <v>18</v>
      </c>
      <c r="F18" s="9">
        <f t="shared" si="1"/>
        <v>-8.1999999999999993</v>
      </c>
    </row>
    <row r="19" spans="1:6" ht="47.2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42.386740000000003</v>
      </c>
      <c r="E25" s="5">
        <f t="shared" si="0"/>
        <v>22.630400427122265</v>
      </c>
      <c r="F25" s="5">
        <f t="shared" si="1"/>
        <v>-144.91326000000001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42.488520000000001</v>
      </c>
      <c r="E26" s="5">
        <f t="shared" si="0"/>
        <v>30.945753823743626</v>
      </c>
      <c r="F26" s="5">
        <f t="shared" si="1"/>
        <v>-94.811480000000017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28.988520000000001</v>
      </c>
      <c r="E27" s="9">
        <f t="shared" si="0"/>
        <v>27.016328052190126</v>
      </c>
      <c r="F27" s="9">
        <f t="shared" si="1"/>
        <v>-78.311479999999989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13.5</v>
      </c>
      <c r="E28" s="9">
        <f t="shared" si="0"/>
        <v>45</v>
      </c>
      <c r="F28" s="9">
        <f t="shared" si="1"/>
        <v>-16.5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7.25" customHeight="1">
      <c r="A30" s="7">
        <v>1130206005</v>
      </c>
      <c r="B30" s="8" t="s">
        <v>224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23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-0.10178</v>
      </c>
      <c r="E36" s="5" t="e">
        <f t="shared" si="0"/>
        <v>#DIV/0!</v>
      </c>
      <c r="F36" s="5">
        <f t="shared" si="1"/>
        <v>-0.10178</v>
      </c>
    </row>
    <row r="37" spans="1:7" ht="18" customHeight="1">
      <c r="A37" s="7">
        <v>1170105005</v>
      </c>
      <c r="B37" s="8" t="s">
        <v>18</v>
      </c>
      <c r="C37" s="9">
        <v>0</v>
      </c>
      <c r="D37" s="9">
        <v>-0.10178</v>
      </c>
      <c r="E37" s="9" t="e">
        <f t="shared" si="0"/>
        <v>#DIV/0!</v>
      </c>
      <c r="F37" s="9">
        <f t="shared" si="1"/>
        <v>-0.10178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127">
        <f>SUM(C4,C25)</f>
        <v>2702.3</v>
      </c>
      <c r="D39" s="127">
        <f>SUM(D4,D25)</f>
        <v>312.61251000000004</v>
      </c>
      <c r="E39" s="5">
        <f t="shared" si="0"/>
        <v>11.56838655959738</v>
      </c>
      <c r="F39" s="5">
        <f t="shared" si="1"/>
        <v>-2389.6874900000003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3370.7559999999994</v>
      </c>
      <c r="D40" s="5">
        <f>D41+D43+D45+D46+D48+D49+D42</f>
        <v>553.52300000000002</v>
      </c>
      <c r="E40" s="5">
        <f t="shared" si="0"/>
        <v>16.42133100111667</v>
      </c>
      <c r="F40" s="5">
        <f t="shared" si="1"/>
        <v>-2817.2329999999993</v>
      </c>
      <c r="G40" s="19"/>
    </row>
    <row r="41" spans="1:7">
      <c r="A41" s="16">
        <v>2021000000</v>
      </c>
      <c r="B41" s="17" t="s">
        <v>21</v>
      </c>
      <c r="C41" s="99">
        <f>1311.8+32.785</f>
        <v>1344.585</v>
      </c>
      <c r="D41" s="20">
        <v>437.26400000000001</v>
      </c>
      <c r="E41" s="9">
        <f t="shared" si="0"/>
        <v>32.520368738309593</v>
      </c>
      <c r="F41" s="9">
        <f t="shared" si="1"/>
        <v>-907.32100000000003</v>
      </c>
    </row>
    <row r="42" spans="1:7" ht="17.25" customHeight="1">
      <c r="A42" s="16">
        <v>2021500200</v>
      </c>
      <c r="B42" s="17" t="s">
        <v>232</v>
      </c>
      <c r="C42" s="12">
        <v>320</v>
      </c>
      <c r="D42" s="20">
        <v>80</v>
      </c>
      <c r="E42" s="9">
        <f>SUM(D42/C42*100)</f>
        <v>25</v>
      </c>
      <c r="F42" s="9">
        <f>SUM(D42-C42)</f>
        <v>-240</v>
      </c>
    </row>
    <row r="43" spans="1:7">
      <c r="A43" s="16">
        <v>2022000000</v>
      </c>
      <c r="B43" s="17" t="s">
        <v>22</v>
      </c>
      <c r="C43" s="12">
        <v>1242.49</v>
      </c>
      <c r="D43" s="10">
        <v>0</v>
      </c>
      <c r="E43" s="9">
        <f t="shared" si="0"/>
        <v>0</v>
      </c>
      <c r="F43" s="9">
        <f t="shared" si="1"/>
        <v>-1242.49</v>
      </c>
    </row>
    <row r="44" spans="1:7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154.48099999999999</v>
      </c>
      <c r="D45" s="252">
        <v>36.259</v>
      </c>
      <c r="E45" s="9">
        <f t="shared" si="0"/>
        <v>23.471494876392569</v>
      </c>
      <c r="F45" s="9">
        <f t="shared" si="1"/>
        <v>-118.22199999999999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16.5" customHeight="1">
      <c r="A47" s="7">
        <v>2070500010</v>
      </c>
      <c r="B47" s="18" t="s">
        <v>298</v>
      </c>
      <c r="C47" s="12">
        <v>309.2</v>
      </c>
      <c r="D47" s="253">
        <v>0</v>
      </c>
      <c r="E47" s="9">
        <f t="shared" si="0"/>
        <v>0</v>
      </c>
      <c r="F47" s="9">
        <f t="shared" si="1"/>
        <v>-309.2</v>
      </c>
    </row>
    <row r="48" spans="1:7" ht="19.5" customHeight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t="18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18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93">
        <f>C39+C40</f>
        <v>6073.0559999999996</v>
      </c>
      <c r="D51" s="379">
        <f>D39+D40</f>
        <v>866.13551000000007</v>
      </c>
      <c r="E51" s="5">
        <f t="shared" si="0"/>
        <v>14.261938470516327</v>
      </c>
      <c r="F51" s="5">
        <f t="shared" si="1"/>
        <v>-5206.9204899999995</v>
      </c>
      <c r="G51" s="305"/>
    </row>
    <row r="52" spans="1:7" s="6" customFormat="1">
      <c r="A52" s="3"/>
      <c r="B52" s="21" t="s">
        <v>321</v>
      </c>
      <c r="C52" s="93">
        <f>C51-C98</f>
        <v>-111.73351000000002</v>
      </c>
      <c r="D52" s="93">
        <f>D51-D98</f>
        <v>-41.464459999999917</v>
      </c>
      <c r="E52" s="22"/>
      <c r="F52" s="22"/>
    </row>
    <row r="53" spans="1:7" ht="23.25" customHeight="1">
      <c r="A53" s="23"/>
      <c r="B53" s="24"/>
      <c r="C53" s="243"/>
      <c r="D53" s="243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360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1309.0539999999999</v>
      </c>
      <c r="D56" s="33">
        <f>D57+D58+D59+D60+D61+D63+D62</f>
        <v>222.70513</v>
      </c>
      <c r="E56" s="34">
        <f>SUM(D56/C56*100)</f>
        <v>17.012677093534723</v>
      </c>
      <c r="F56" s="34">
        <f>SUM(D56-C56)</f>
        <v>-1086.3488699999998</v>
      </c>
    </row>
    <row r="57" spans="1:7" s="6" customFormat="1" ht="31.5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1299.9849999999999</v>
      </c>
      <c r="D58" s="37">
        <v>222.70513</v>
      </c>
      <c r="E58" s="38">
        <f t="shared" ref="E58:E98" si="3">SUM(D58/C58*100)</f>
        <v>17.131361515709798</v>
      </c>
      <c r="F58" s="38">
        <f t="shared" ref="F58:F98" si="4">SUM(D58-C58)</f>
        <v>-1077.2798699999998</v>
      </c>
    </row>
    <row r="59" spans="1:7" ht="16.5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4.069</v>
      </c>
      <c r="D63" s="37">
        <v>0</v>
      </c>
      <c r="E63" s="38">
        <f t="shared" si="3"/>
        <v>0</v>
      </c>
      <c r="F63" s="38">
        <f t="shared" si="4"/>
        <v>-4.069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14.81678</v>
      </c>
      <c r="E64" s="34">
        <f t="shared" si="3"/>
        <v>9.8201761653223407</v>
      </c>
      <c r="F64" s="34">
        <f t="shared" si="4"/>
        <v>-136.06422000000001</v>
      </c>
    </row>
    <row r="65" spans="1:7">
      <c r="A65" s="43" t="s">
        <v>48</v>
      </c>
      <c r="B65" s="44" t="s">
        <v>49</v>
      </c>
      <c r="C65" s="37">
        <v>150.881</v>
      </c>
      <c r="D65" s="37">
        <v>14.81678</v>
      </c>
      <c r="E65" s="38">
        <f t="shared" si="3"/>
        <v>9.8201761653223407</v>
      </c>
      <c r="F65" s="38">
        <f t="shared" si="4"/>
        <v>-136.06422000000001</v>
      </c>
    </row>
    <row r="66" spans="1:7" s="6" customFormat="1">
      <c r="A66" s="30" t="s">
        <v>50</v>
      </c>
      <c r="B66" s="31" t="s">
        <v>51</v>
      </c>
      <c r="C66" s="32">
        <f>C70+C69+C68+C67</f>
        <v>8.65</v>
      </c>
      <c r="D66" s="32">
        <f>D70+D69+D68+D67</f>
        <v>2</v>
      </c>
      <c r="E66" s="34">
        <f t="shared" si="3"/>
        <v>23.121387283236995</v>
      </c>
      <c r="F66" s="34">
        <f t="shared" si="4"/>
        <v>-6.65</v>
      </c>
    </row>
    <row r="67" spans="1:7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2</v>
      </c>
      <c r="D69" s="37">
        <v>0</v>
      </c>
      <c r="E69" s="38">
        <f t="shared" si="3"/>
        <v>0</v>
      </c>
      <c r="F69" s="38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2</v>
      </c>
      <c r="E70" s="38">
        <f>SUM(D70/C70*100)</f>
        <v>30.075187969924812</v>
      </c>
      <c r="F70" s="38">
        <f>SUM(D70-C70)</f>
        <v>-4.6500000000000004</v>
      </c>
    </row>
    <row r="71" spans="1:7" s="6" customFormat="1">
      <c r="A71" s="30" t="s">
        <v>58</v>
      </c>
      <c r="B71" s="31" t="s">
        <v>59</v>
      </c>
      <c r="C71" s="48">
        <f>SUM(C72:C75)</f>
        <v>2346.3735099999999</v>
      </c>
      <c r="D71" s="48">
        <f>SUM(D72:D75)</f>
        <v>153.94999999999999</v>
      </c>
      <c r="E71" s="34">
        <f t="shared" si="3"/>
        <v>6.5611889728502781</v>
      </c>
      <c r="F71" s="34">
        <f t="shared" si="4"/>
        <v>-2192.4235100000001</v>
      </c>
    </row>
    <row r="72" spans="1:7" ht="17.25" customHeight="1">
      <c r="A72" s="35" t="s">
        <v>60</v>
      </c>
      <c r="B72" s="39" t="s">
        <v>61</v>
      </c>
      <c r="C72" s="49">
        <f>3.6+10.15</f>
        <v>13.75</v>
      </c>
      <c r="D72" s="37">
        <v>0</v>
      </c>
      <c r="E72" s="38">
        <f t="shared" si="3"/>
        <v>0</v>
      </c>
      <c r="F72" s="38">
        <f t="shared" si="4"/>
        <v>-13.75</v>
      </c>
    </row>
    <row r="73" spans="1:7" s="6" customFormat="1" ht="17.25" customHeight="1">
      <c r="A73" s="35" t="s">
        <v>62</v>
      </c>
      <c r="B73" s="39" t="s">
        <v>63</v>
      </c>
      <c r="C73" s="49">
        <v>128.65</v>
      </c>
      <c r="D73" s="37">
        <v>33.950000000000003</v>
      </c>
      <c r="E73" s="38">
        <f t="shared" si="3"/>
        <v>26.38942868247182</v>
      </c>
      <c r="F73" s="38">
        <f t="shared" si="4"/>
        <v>-94.7</v>
      </c>
      <c r="G73" s="50"/>
    </row>
    <row r="74" spans="1:7">
      <c r="A74" s="35" t="s">
        <v>64</v>
      </c>
      <c r="B74" s="39" t="s">
        <v>65</v>
      </c>
      <c r="C74" s="49">
        <v>2023.97351</v>
      </c>
      <c r="D74" s="37">
        <v>120</v>
      </c>
      <c r="E74" s="38">
        <f t="shared" si="3"/>
        <v>5.9289313524661695</v>
      </c>
      <c r="F74" s="38">
        <f t="shared" si="4"/>
        <v>-1903.97351</v>
      </c>
    </row>
    <row r="75" spans="1:7">
      <c r="A75" s="35" t="s">
        <v>66</v>
      </c>
      <c r="B75" s="39" t="s">
        <v>67</v>
      </c>
      <c r="C75" s="49">
        <v>180</v>
      </c>
      <c r="D75" s="37">
        <v>0</v>
      </c>
      <c r="E75" s="38">
        <f t="shared" si="3"/>
        <v>0</v>
      </c>
      <c r="F75" s="38">
        <f t="shared" si="4"/>
        <v>-180</v>
      </c>
    </row>
    <row r="76" spans="1:7" s="6" customFormat="1" ht="18.75" customHeight="1">
      <c r="A76" s="30" t="s">
        <v>68</v>
      </c>
      <c r="B76" s="31" t="s">
        <v>69</v>
      </c>
      <c r="C76" s="32">
        <f>SUM(C77:C80)</f>
        <v>833.83100000000002</v>
      </c>
      <c r="D76" s="32">
        <f>SUM(D77:D80)</f>
        <v>188.87405999999999</v>
      </c>
      <c r="E76" s="34">
        <f t="shared" si="3"/>
        <v>22.651359807922706</v>
      </c>
      <c r="F76" s="34">
        <f t="shared" si="4"/>
        <v>-644.95694000000003</v>
      </c>
    </row>
    <row r="77" spans="1:7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833.83100000000002</v>
      </c>
      <c r="D79" s="37">
        <v>188.87405999999999</v>
      </c>
      <c r="E79" s="38">
        <f t="shared" si="3"/>
        <v>22.651359807922706</v>
      </c>
      <c r="F79" s="38">
        <f t="shared" si="4"/>
        <v>-644.95694000000003</v>
      </c>
    </row>
    <row r="80" spans="1:7" ht="31.5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1534</v>
      </c>
      <c r="D81" s="32">
        <f>SUM(D82)</f>
        <v>325.25400000000002</v>
      </c>
      <c r="E81" s="34">
        <f t="shared" si="3"/>
        <v>21.202998696219037</v>
      </c>
      <c r="F81" s="34">
        <f t="shared" si="4"/>
        <v>-1208.7460000000001</v>
      </c>
    </row>
    <row r="82" spans="1:6" ht="15.75" customHeight="1">
      <c r="A82" s="35" t="s">
        <v>88</v>
      </c>
      <c r="B82" s="39" t="s">
        <v>234</v>
      </c>
      <c r="C82" s="37">
        <v>1534</v>
      </c>
      <c r="D82" s="37">
        <v>325.25400000000002</v>
      </c>
      <c r="E82" s="38">
        <f t="shared" si="3"/>
        <v>21.202998696219037</v>
      </c>
      <c r="F82" s="38">
        <f t="shared" si="4"/>
        <v>-1208.7460000000001</v>
      </c>
    </row>
    <row r="83" spans="1:6" s="6" customFormat="1" ht="18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0</v>
      </c>
      <c r="E88" s="38">
        <f t="shared" si="3"/>
        <v>0</v>
      </c>
      <c r="F88" s="22">
        <f>F89+F90+F91+F92+F93</f>
        <v>-2</v>
      </c>
    </row>
    <row r="89" spans="1:6" ht="13.5" customHeight="1">
      <c r="A89" s="35" t="s">
        <v>97</v>
      </c>
      <c r="B89" s="39" t="s">
        <v>98</v>
      </c>
      <c r="C89" s="37">
        <v>2</v>
      </c>
      <c r="D89" s="37">
        <v>0</v>
      </c>
      <c r="E89" s="38">
        <f t="shared" si="3"/>
        <v>0</v>
      </c>
      <c r="F89" s="38">
        <f>SUM(D89-C89)</f>
        <v>-2</v>
      </c>
    </row>
    <row r="90" spans="1:6" ht="15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392">
        <f>C56+C64+C66+C71+C76+C81+C83+C88+C94</f>
        <v>6184.7895099999996</v>
      </c>
      <c r="D98" s="392">
        <f>D56+D64+D66+D71+D76+D81+D83+D88+D94</f>
        <v>907.59996999999998</v>
      </c>
      <c r="E98" s="34">
        <f t="shared" si="3"/>
        <v>14.674710732394836</v>
      </c>
      <c r="F98" s="34">
        <f t="shared" si="4"/>
        <v>-5277.1895399999994</v>
      </c>
    </row>
    <row r="99" spans="1:6" ht="20.25" customHeight="1">
      <c r="C99" s="117"/>
      <c r="D99" s="61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  <row r="141" hidden="1"/>
  </sheetData>
  <customSheetViews>
    <customSheetView guid="{A54C432C-6C68-4B53-A75C-446EB3A61B2B}" scale="70" showPageBreaks="1" hiddenRows="1" view="pageBreakPreview" topLeftCell="A54">
      <selection activeCell="C141" sqref="C141:D141"/>
      <pageMargins left="0.7" right="0.7" top="0.75" bottom="0.75" header="0.3" footer="0.3"/>
      <pageSetup paperSize="9" scale="57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7" orientation="portrait" r:id="rId2"/>
    </customSheetView>
    <customSheetView guid="{42584DC0-1D41-4C93-9B38-C388E7B8DAC4}" scale="70" showPageBreaks="1" hiddenRows="1" view="pageBreakPreview">
      <selection activeCell="C141" sqref="C141:D141"/>
      <pageMargins left="0.7" right="0.7" top="0.75" bottom="0.75" header="0.3" footer="0.3"/>
      <pageSetup paperSize="9" scale="57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9.140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378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328.12209000000001</v>
      </c>
      <c r="E4" s="5">
        <f>SUM(D4/C4*100)</f>
        <v>18.868435307648074</v>
      </c>
      <c r="F4" s="5">
        <f>SUM(D4-C4)</f>
        <v>-1410.8779099999999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11.888450000000001</v>
      </c>
      <c r="E5" s="5">
        <f t="shared" ref="E5:E50" si="0">SUM(D5/C5*100)</f>
        <v>10.997641073080482</v>
      </c>
      <c r="F5" s="5">
        <f t="shared" ref="F5:F50" si="1">SUM(D5-C5)</f>
        <v>-96.211549999999988</v>
      </c>
    </row>
    <row r="6" spans="1:6">
      <c r="A6" s="7">
        <v>1010200001</v>
      </c>
      <c r="B6" s="8" t="s">
        <v>229</v>
      </c>
      <c r="C6" s="9">
        <v>108.1</v>
      </c>
      <c r="D6" s="10">
        <v>11.888450000000001</v>
      </c>
      <c r="E6" s="9">
        <f t="shared" ref="E6:E11" si="2">SUM(D6/C6*100)</f>
        <v>10.997641073080482</v>
      </c>
      <c r="F6" s="9">
        <f t="shared" si="1"/>
        <v>-96.211549999999988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121.59316</v>
      </c>
      <c r="E7" s="9">
        <f t="shared" si="2"/>
        <v>23.342898828949895</v>
      </c>
      <c r="F7" s="9">
        <f t="shared" si="1"/>
        <v>-399.30683999999997</v>
      </c>
    </row>
    <row r="8" spans="1:6">
      <c r="A8" s="7">
        <v>1030223001</v>
      </c>
      <c r="B8" s="8" t="s">
        <v>283</v>
      </c>
      <c r="C8" s="9">
        <v>194.3</v>
      </c>
      <c r="D8" s="10">
        <v>50.094410000000003</v>
      </c>
      <c r="E8" s="9">
        <f t="shared" si="2"/>
        <v>25.781991765311375</v>
      </c>
      <c r="F8" s="9">
        <f t="shared" si="1"/>
        <v>-144.20559</v>
      </c>
    </row>
    <row r="9" spans="1:6">
      <c r="A9" s="7">
        <v>1030224001</v>
      </c>
      <c r="B9" s="8" t="s">
        <v>289</v>
      </c>
      <c r="C9" s="9">
        <v>2.1</v>
      </c>
      <c r="D9" s="10">
        <v>0.33768999999999999</v>
      </c>
      <c r="E9" s="9">
        <f t="shared" si="2"/>
        <v>16.08047619047619</v>
      </c>
      <c r="F9" s="9">
        <f t="shared" si="1"/>
        <v>-1.76231</v>
      </c>
    </row>
    <row r="10" spans="1:6">
      <c r="A10" s="7">
        <v>1030225001</v>
      </c>
      <c r="B10" s="8" t="s">
        <v>282</v>
      </c>
      <c r="C10" s="9">
        <v>324.5</v>
      </c>
      <c r="D10" s="10">
        <v>81.599419999999995</v>
      </c>
      <c r="E10" s="9">
        <f t="shared" si="2"/>
        <v>25.14620030816641</v>
      </c>
      <c r="F10" s="9">
        <f t="shared" si="1"/>
        <v>-242.90057999999999</v>
      </c>
    </row>
    <row r="11" spans="1:6">
      <c r="A11" s="7">
        <v>1030226001</v>
      </c>
      <c r="B11" s="8" t="s">
        <v>291</v>
      </c>
      <c r="C11" s="9">
        <v>0</v>
      </c>
      <c r="D11" s="10">
        <v>-10.438359999999999</v>
      </c>
      <c r="E11" s="9" t="e">
        <f t="shared" si="2"/>
        <v>#DIV/0!</v>
      </c>
      <c r="F11" s="9">
        <f t="shared" si="1"/>
        <v>-10.438359999999999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3.6015000000000001</v>
      </c>
      <c r="E12" s="5">
        <f t="shared" si="0"/>
        <v>9.0037500000000001</v>
      </c>
      <c r="F12" s="5">
        <f t="shared" si="1"/>
        <v>-36.398499999999999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3.6015000000000001</v>
      </c>
      <c r="E13" s="9">
        <f t="shared" si="0"/>
        <v>9.0037500000000001</v>
      </c>
      <c r="F13" s="9">
        <f t="shared" si="1"/>
        <v>-36.398499999999999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189.38898</v>
      </c>
      <c r="E14" s="5">
        <f t="shared" si="0"/>
        <v>17.866884905660378</v>
      </c>
      <c r="F14" s="5">
        <f t="shared" si="1"/>
        <v>-870.61102000000005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5.3248600000000001</v>
      </c>
      <c r="E15" s="9">
        <f t="shared" si="0"/>
        <v>4.0960461538461539</v>
      </c>
      <c r="F15" s="9">
        <f>SUM(D15-C15)</f>
        <v>-124.67514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184.06412</v>
      </c>
      <c r="E16" s="9">
        <f t="shared" si="0"/>
        <v>19.791840860215054</v>
      </c>
      <c r="F16" s="9">
        <f t="shared" si="1"/>
        <v>-745.93588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1.65</v>
      </c>
      <c r="E17" s="5">
        <f t="shared" si="0"/>
        <v>16.499999999999996</v>
      </c>
      <c r="F17" s="5">
        <f t="shared" si="1"/>
        <v>-8.35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1.65</v>
      </c>
      <c r="E18" s="9">
        <f t="shared" si="0"/>
        <v>16.499999999999996</v>
      </c>
      <c r="F18" s="9">
        <f t="shared" si="1"/>
        <v>-8.35</v>
      </c>
    </row>
    <row r="19" spans="1:6" ht="36.7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166</v>
      </c>
      <c r="D25" s="5">
        <f>D26+D29+D31+D36+D34</f>
        <v>-93.306560000000005</v>
      </c>
      <c r="E25" s="5">
        <f t="shared" si="0"/>
        <v>-56.20877108433735</v>
      </c>
      <c r="F25" s="5">
        <f t="shared" si="1"/>
        <v>-259.30655999999999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5">
        <f>D27+D28</f>
        <v>1.6934400000000001</v>
      </c>
      <c r="E26" s="5">
        <f t="shared" si="0"/>
        <v>1.020144578313253</v>
      </c>
      <c r="F26" s="5">
        <f t="shared" si="1"/>
        <v>-164.30655999999999</v>
      </c>
    </row>
    <row r="27" spans="1:6">
      <c r="A27" s="16">
        <v>1110502510</v>
      </c>
      <c r="B27" s="17" t="s">
        <v>226</v>
      </c>
      <c r="C27" s="12">
        <v>160</v>
      </c>
      <c r="D27" s="10">
        <v>0</v>
      </c>
      <c r="E27" s="9">
        <f t="shared" si="0"/>
        <v>0</v>
      </c>
      <c r="F27" s="9">
        <f t="shared" si="1"/>
        <v>-160</v>
      </c>
    </row>
    <row r="28" spans="1:6" ht="30" customHeight="1">
      <c r="A28" s="7">
        <v>1110503510</v>
      </c>
      <c r="B28" s="11" t="s">
        <v>225</v>
      </c>
      <c r="C28" s="12">
        <v>6</v>
      </c>
      <c r="D28" s="10">
        <v>1.6934400000000001</v>
      </c>
      <c r="E28" s="9">
        <f t="shared" si="0"/>
        <v>28.224</v>
      </c>
      <c r="F28" s="9">
        <f t="shared" si="1"/>
        <v>-4.3065600000000002</v>
      </c>
    </row>
    <row r="29" spans="1:6" s="15" customFormat="1" ht="32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0.25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2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3.25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7" customHeight="1">
      <c r="A34" s="3">
        <v>1160000000</v>
      </c>
      <c r="B34" s="13" t="s">
        <v>252</v>
      </c>
      <c r="C34" s="5">
        <v>0</v>
      </c>
      <c r="D34" s="5">
        <v>0</v>
      </c>
      <c r="E34" s="9" t="e">
        <f>SUM(D34/C34*100)</f>
        <v>#DIV/0!</v>
      </c>
      <c r="F34" s="9">
        <f>SUM(D34-C34)</f>
        <v>0</v>
      </c>
    </row>
    <row r="35" spans="1:7" ht="27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1905</v>
      </c>
      <c r="D39" s="127">
        <f>SUM(D4,D25)</f>
        <v>234.81553000000002</v>
      </c>
      <c r="E39" s="5">
        <f t="shared" si="0"/>
        <v>12.326274540682416</v>
      </c>
      <c r="F39" s="5">
        <f t="shared" si="1"/>
        <v>-1670.1844699999999</v>
      </c>
    </row>
    <row r="40" spans="1:7" s="6" customFormat="1">
      <c r="A40" s="3">
        <v>2000000000</v>
      </c>
      <c r="B40" s="4" t="s">
        <v>20</v>
      </c>
      <c r="C40" s="5">
        <f>C41+C42+C43+C44+C48+C49</f>
        <v>3595.3960000000002</v>
      </c>
      <c r="D40" s="5">
        <f>D41+D42+D43+D44+D48+D49</f>
        <v>1017.8870000000001</v>
      </c>
      <c r="E40" s="5">
        <f t="shared" si="0"/>
        <v>28.31084531439652</v>
      </c>
      <c r="F40" s="5">
        <f t="shared" si="1"/>
        <v>-2577.509</v>
      </c>
      <c r="G40" s="19"/>
    </row>
    <row r="41" spans="1:7">
      <c r="A41" s="16">
        <v>2021000000</v>
      </c>
      <c r="B41" s="17" t="s">
        <v>21</v>
      </c>
      <c r="C41" s="12">
        <v>2755.6849999999999</v>
      </c>
      <c r="D41" s="20">
        <v>907.62800000000004</v>
      </c>
      <c r="E41" s="9">
        <f t="shared" si="0"/>
        <v>32.936565681491174</v>
      </c>
      <c r="F41" s="9">
        <f t="shared" si="1"/>
        <v>-1848.0569999999998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610.03</v>
      </c>
      <c r="D43" s="10">
        <v>0</v>
      </c>
      <c r="E43" s="9">
        <f t="shared" si="0"/>
        <v>0</v>
      </c>
      <c r="F43" s="9">
        <f t="shared" si="1"/>
        <v>-610.03</v>
      </c>
    </row>
    <row r="44" spans="1:7" ht="17.25" customHeight="1">
      <c r="A44" s="16">
        <v>2023000000</v>
      </c>
      <c r="B44" s="17" t="s">
        <v>23</v>
      </c>
      <c r="C44" s="12">
        <v>155.68100000000001</v>
      </c>
      <c r="D44" s="252">
        <v>36.259</v>
      </c>
      <c r="E44" s="9">
        <f t="shared" si="0"/>
        <v>23.2905749577662</v>
      </c>
      <c r="F44" s="9">
        <f t="shared" si="1"/>
        <v>-119.42200000000001</v>
      </c>
    </row>
    <row r="45" spans="1:7" ht="0.75" customHeight="1">
      <c r="A45" s="16">
        <v>2020400000</v>
      </c>
      <c r="B45" s="17" t="s">
        <v>24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8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t="18" customHeight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6" s="6" customFormat="1" ht="18.75" customHeight="1">
      <c r="A49" s="7">
        <v>2070500010</v>
      </c>
      <c r="B49" s="8" t="s">
        <v>355</v>
      </c>
      <c r="C49" s="12">
        <v>74</v>
      </c>
      <c r="D49" s="10">
        <v>74</v>
      </c>
      <c r="E49" s="9">
        <f>SUM(D49/C49*100)</f>
        <v>100</v>
      </c>
      <c r="F49" s="9">
        <f>SUM(D49-C49)</f>
        <v>0</v>
      </c>
    </row>
    <row r="50" spans="1:6" s="6" customFormat="1" ht="19.5" customHeight="1">
      <c r="A50" s="3"/>
      <c r="B50" s="4" t="s">
        <v>28</v>
      </c>
      <c r="C50" s="289">
        <f>C39+C40</f>
        <v>5500.3960000000006</v>
      </c>
      <c r="D50" s="289">
        <f>SUM(D39,D40,)</f>
        <v>1252.70253</v>
      </c>
      <c r="E50" s="5">
        <f t="shared" si="0"/>
        <v>22.774769852934224</v>
      </c>
      <c r="F50" s="5">
        <f t="shared" si="1"/>
        <v>-4247.6934700000002</v>
      </c>
    </row>
    <row r="51" spans="1:6" s="6" customFormat="1">
      <c r="A51" s="3"/>
      <c r="B51" s="21" t="s">
        <v>321</v>
      </c>
      <c r="C51" s="289">
        <f>C50-C96</f>
        <v>-449.5060199999989</v>
      </c>
      <c r="D51" s="289">
        <f>D50-D96</f>
        <v>92.044759999999997</v>
      </c>
      <c r="E51" s="22"/>
      <c r="F51" s="22"/>
    </row>
    <row r="52" spans="1:6">
      <c r="A52" s="23"/>
      <c r="B52" s="24"/>
      <c r="C52" s="251"/>
      <c r="D52" s="251"/>
      <c r="E52" s="26"/>
      <c r="F52" s="92"/>
    </row>
    <row r="53" spans="1:6" ht="60" customHeight="1">
      <c r="A53" s="28" t="s">
        <v>1</v>
      </c>
      <c r="B53" s="28" t="s">
        <v>29</v>
      </c>
      <c r="C53" s="244" t="s">
        <v>346</v>
      </c>
      <c r="D53" s="245" t="s">
        <v>360</v>
      </c>
      <c r="E53" s="72" t="s">
        <v>3</v>
      </c>
      <c r="F53" s="74" t="s">
        <v>4</v>
      </c>
    </row>
    <row r="54" spans="1:6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6" s="6" customFormat="1" ht="32.25" customHeight="1">
      <c r="A55" s="30" t="s">
        <v>30</v>
      </c>
      <c r="B55" s="31" t="s">
        <v>31</v>
      </c>
      <c r="C55" s="32">
        <f>C56+C57+C58+C59+C60+C62+C61</f>
        <v>1428.385</v>
      </c>
      <c r="D55" s="32">
        <f>D56+D57+D58+D59+D60+D62+D61</f>
        <v>302.80583999999999</v>
      </c>
      <c r="E55" s="34">
        <f>SUM(D55/C55*100)</f>
        <v>21.199175292375656</v>
      </c>
      <c r="F55" s="34">
        <f>SUM(D55-C55)</f>
        <v>-1125.57916</v>
      </c>
    </row>
    <row r="56" spans="1:6" s="6" customFormat="1" ht="31.5">
      <c r="A56" s="35" t="s">
        <v>32</v>
      </c>
      <c r="B56" s="36" t="s">
        <v>33</v>
      </c>
      <c r="C56" s="37"/>
      <c r="D56" s="37"/>
      <c r="E56" s="38"/>
      <c r="F56" s="38"/>
    </row>
    <row r="57" spans="1:6">
      <c r="A57" s="35" t="s">
        <v>34</v>
      </c>
      <c r="B57" s="39" t="s">
        <v>35</v>
      </c>
      <c r="C57" s="37">
        <v>1397.585</v>
      </c>
      <c r="D57" s="37">
        <v>298.10584</v>
      </c>
      <c r="E57" s="38">
        <f t="shared" ref="E57:E96" si="3">SUM(D57/C57*100)</f>
        <v>21.330068654142682</v>
      </c>
      <c r="F57" s="38">
        <f t="shared" ref="F57:F96" si="4">SUM(D57-C57)</f>
        <v>-1099.4791600000001</v>
      </c>
    </row>
    <row r="58" spans="1:6" ht="16.5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6" ht="31.5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6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6" ht="15.75" customHeight="1">
      <c r="A61" s="35" t="s">
        <v>42</v>
      </c>
      <c r="B61" s="39" t="s">
        <v>43</v>
      </c>
      <c r="C61" s="40">
        <v>20.010000000000002</v>
      </c>
      <c r="D61" s="40">
        <v>0</v>
      </c>
      <c r="E61" s="38">
        <f t="shared" si="3"/>
        <v>0</v>
      </c>
      <c r="F61" s="38">
        <f t="shared" si="4"/>
        <v>-20.010000000000002</v>
      </c>
    </row>
    <row r="62" spans="1:6" ht="18.75" customHeight="1">
      <c r="A62" s="35" t="s">
        <v>44</v>
      </c>
      <c r="B62" s="39" t="s">
        <v>45</v>
      </c>
      <c r="C62" s="37">
        <v>10.79</v>
      </c>
      <c r="D62" s="37">
        <v>4.7</v>
      </c>
      <c r="E62" s="38">
        <f t="shared" si="3"/>
        <v>43.55885078776646</v>
      </c>
      <c r="F62" s="38">
        <f t="shared" si="4"/>
        <v>-6.089999999999999</v>
      </c>
    </row>
    <row r="63" spans="1:6" s="6" customFormat="1">
      <c r="A63" s="41" t="s">
        <v>46</v>
      </c>
      <c r="B63" s="42" t="s">
        <v>47</v>
      </c>
      <c r="C63" s="32">
        <f>C64</f>
        <v>150.881</v>
      </c>
      <c r="D63" s="32">
        <f>D64</f>
        <v>28.009360000000001</v>
      </c>
      <c r="E63" s="34">
        <f t="shared" si="3"/>
        <v>18.563874841762715</v>
      </c>
      <c r="F63" s="34">
        <f t="shared" si="4"/>
        <v>-122.87164</v>
      </c>
    </row>
    <row r="64" spans="1:6">
      <c r="A64" s="43" t="s">
        <v>48</v>
      </c>
      <c r="B64" s="44" t="s">
        <v>49</v>
      </c>
      <c r="C64" s="37">
        <v>150.881</v>
      </c>
      <c r="D64" s="37">
        <v>28.009360000000001</v>
      </c>
      <c r="E64" s="38">
        <f t="shared" si="3"/>
        <v>18.563874841762715</v>
      </c>
      <c r="F64" s="38">
        <f t="shared" si="4"/>
        <v>-122.87164</v>
      </c>
    </row>
    <row r="65" spans="1:7" s="6" customFormat="1" ht="18.75" customHeight="1">
      <c r="A65" s="30" t="s">
        <v>50</v>
      </c>
      <c r="B65" s="31" t="s">
        <v>51</v>
      </c>
      <c r="C65" s="32">
        <f>C68+C69</f>
        <v>10</v>
      </c>
      <c r="D65" s="32">
        <f>D68+D69</f>
        <v>0</v>
      </c>
      <c r="E65" s="34">
        <f t="shared" si="3"/>
        <v>0</v>
      </c>
      <c r="F65" s="34">
        <f t="shared" si="4"/>
        <v>-10</v>
      </c>
    </row>
    <row r="66" spans="1:7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5</v>
      </c>
      <c r="D68" s="37">
        <v>0</v>
      </c>
      <c r="E68" s="34">
        <f t="shared" si="3"/>
        <v>0</v>
      </c>
      <c r="F68" s="34">
        <f t="shared" si="4"/>
        <v>-5</v>
      </c>
    </row>
    <row r="69" spans="1:7" ht="15.75" customHeight="1">
      <c r="A69" s="46" t="s">
        <v>219</v>
      </c>
      <c r="B69" s="47" t="s">
        <v>220</v>
      </c>
      <c r="C69" s="37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s="6" customFormat="1" ht="16.5" customHeight="1">
      <c r="A70" s="30" t="s">
        <v>58</v>
      </c>
      <c r="B70" s="31" t="s">
        <v>59</v>
      </c>
      <c r="C70" s="48">
        <f>C71+C72+C73+C74</f>
        <v>1400.58602</v>
      </c>
      <c r="D70" s="48">
        <f>SUM(D71:D74)</f>
        <v>287.94907999999998</v>
      </c>
      <c r="E70" s="34">
        <f t="shared" si="3"/>
        <v>20.559185647162177</v>
      </c>
      <c r="F70" s="34">
        <f t="shared" si="4"/>
        <v>-1112.6369399999999</v>
      </c>
    </row>
    <row r="71" spans="1:7" ht="15" customHeight="1">
      <c r="A71" s="35" t="s">
        <v>60</v>
      </c>
      <c r="B71" s="39" t="s">
        <v>61</v>
      </c>
      <c r="C71" s="49">
        <f>4.8+12.7</f>
        <v>17.5</v>
      </c>
      <c r="D71" s="37">
        <v>0</v>
      </c>
      <c r="E71" s="38">
        <f t="shared" si="3"/>
        <v>0</v>
      </c>
      <c r="F71" s="38">
        <f t="shared" si="4"/>
        <v>-17.5</v>
      </c>
    </row>
    <row r="72" spans="1:7" s="6" customFormat="1" ht="15" customHeight="1">
      <c r="A72" s="35" t="s">
        <v>62</v>
      </c>
      <c r="B72" s="39" t="s">
        <v>63</v>
      </c>
      <c r="C72" s="49">
        <f>200</f>
        <v>200</v>
      </c>
      <c r="D72" s="37">
        <v>0</v>
      </c>
      <c r="E72" s="38">
        <f t="shared" si="3"/>
        <v>0</v>
      </c>
      <c r="F72" s="38">
        <f t="shared" si="4"/>
        <v>-200</v>
      </c>
      <c r="G72" s="50"/>
    </row>
    <row r="73" spans="1:7">
      <c r="A73" s="35" t="s">
        <v>64</v>
      </c>
      <c r="B73" s="39" t="s">
        <v>65</v>
      </c>
      <c r="C73" s="49">
        <f>933.08602</f>
        <v>933.08601999999996</v>
      </c>
      <c r="D73" s="37">
        <v>254.24907999999999</v>
      </c>
      <c r="E73" s="38">
        <f t="shared" si="3"/>
        <v>27.248193044409774</v>
      </c>
      <c r="F73" s="38">
        <f t="shared" si="4"/>
        <v>-678.83693999999991</v>
      </c>
    </row>
    <row r="74" spans="1:7">
      <c r="A74" s="35" t="s">
        <v>66</v>
      </c>
      <c r="B74" s="39" t="s">
        <v>67</v>
      </c>
      <c r="C74" s="49">
        <v>250</v>
      </c>
      <c r="D74" s="37">
        <v>33.700000000000003</v>
      </c>
      <c r="E74" s="38">
        <f t="shared" si="3"/>
        <v>13.48</v>
      </c>
      <c r="F74" s="38">
        <f t="shared" si="4"/>
        <v>-216.3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823.2</v>
      </c>
      <c r="D75" s="32">
        <f>SUM(D76:D78)</f>
        <v>41.299529999999997</v>
      </c>
      <c r="E75" s="34">
        <f t="shared" si="3"/>
        <v>5.0169497084548098</v>
      </c>
      <c r="F75" s="34">
        <f t="shared" si="4"/>
        <v>-781.90047000000004</v>
      </c>
    </row>
    <row r="76" spans="1:7" ht="14.25" customHeight="1">
      <c r="A76" s="35" t="s">
        <v>70</v>
      </c>
      <c r="B76" s="51" t="s">
        <v>71</v>
      </c>
      <c r="C76" s="37">
        <v>0</v>
      </c>
      <c r="D76" s="37">
        <v>0</v>
      </c>
      <c r="E76" s="34" t="e">
        <f t="shared" si="3"/>
        <v>#DIV/0!</v>
      </c>
      <c r="F76" s="34">
        <f t="shared" si="4"/>
        <v>0</v>
      </c>
    </row>
    <row r="77" spans="1:7" ht="18.75" customHeight="1">
      <c r="A77" s="35" t="s">
        <v>72</v>
      </c>
      <c r="B77" s="51" t="s">
        <v>73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>
      <c r="A78" s="35" t="s">
        <v>74</v>
      </c>
      <c r="B78" s="39" t="s">
        <v>75</v>
      </c>
      <c r="C78" s="37">
        <v>823.2</v>
      </c>
      <c r="D78" s="37">
        <v>41.299529999999997</v>
      </c>
      <c r="E78" s="38">
        <f t="shared" si="3"/>
        <v>5.0169497084548098</v>
      </c>
      <c r="F78" s="38">
        <f t="shared" si="4"/>
        <v>-781.90047000000004</v>
      </c>
    </row>
    <row r="79" spans="1:7" s="6" customFormat="1">
      <c r="A79" s="30" t="s">
        <v>86</v>
      </c>
      <c r="B79" s="31" t="s">
        <v>87</v>
      </c>
      <c r="C79" s="32">
        <f>C80</f>
        <v>2099.85</v>
      </c>
      <c r="D79" s="32">
        <f>D80</f>
        <v>478.59395999999998</v>
      </c>
      <c r="E79" s="34">
        <f>SUM(D79/C79*100)</f>
        <v>22.791816558325596</v>
      </c>
      <c r="F79" s="34">
        <f t="shared" si="4"/>
        <v>-1621.25604</v>
      </c>
    </row>
    <row r="80" spans="1:7" ht="16.5" customHeight="1">
      <c r="A80" s="35" t="s">
        <v>88</v>
      </c>
      <c r="B80" s="39" t="s">
        <v>234</v>
      </c>
      <c r="C80" s="37">
        <f>2099.85</f>
        <v>2099.85</v>
      </c>
      <c r="D80" s="37">
        <v>478.59395999999998</v>
      </c>
      <c r="E80" s="38">
        <f>SUM(D80/C80*100)</f>
        <v>22.791816558325596</v>
      </c>
      <c r="F80" s="38">
        <f t="shared" si="4"/>
        <v>-1621.25604</v>
      </c>
    </row>
    <row r="81" spans="1:6" s="6" customFormat="1" ht="17.25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7.25" customHeight="1">
      <c r="A82" s="53">
        <v>1001</v>
      </c>
      <c r="B82" s="54" t="s">
        <v>90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15.75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17.25" customHeight="1">
      <c r="A84" s="53">
        <v>1004</v>
      </c>
      <c r="B84" s="54" t="s">
        <v>92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17.25" customHeight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4"/>
        <v>0</v>
      </c>
    </row>
    <row r="86" spans="1:6">
      <c r="A86" s="30" t="s">
        <v>95</v>
      </c>
      <c r="B86" s="31" t="s">
        <v>96</v>
      </c>
      <c r="C86" s="32">
        <f>C87+C88+C89+C90+C91</f>
        <v>37</v>
      </c>
      <c r="D86" s="32">
        <f>D87+D88+D89+D90+D91</f>
        <v>22</v>
      </c>
      <c r="E86" s="38">
        <f t="shared" si="3"/>
        <v>59.45945945945946</v>
      </c>
      <c r="F86" s="22">
        <f>F87+F88+F89+F90+F91</f>
        <v>-15</v>
      </c>
    </row>
    <row r="87" spans="1:6" ht="16.5" customHeight="1">
      <c r="A87" s="35" t="s">
        <v>97</v>
      </c>
      <c r="B87" s="39" t="s">
        <v>98</v>
      </c>
      <c r="C87" s="37">
        <v>37</v>
      </c>
      <c r="D87" s="37">
        <v>22</v>
      </c>
      <c r="E87" s="38">
        <f t="shared" si="3"/>
        <v>59.45945945945946</v>
      </c>
      <c r="F87" s="38">
        <f>SUM(D87-C87)</f>
        <v>-15</v>
      </c>
    </row>
    <row r="88" spans="1:6" ht="15.75" customHeight="1">
      <c r="A88" s="35" t="s">
        <v>99</v>
      </c>
      <c r="B88" s="39" t="s">
        <v>100</v>
      </c>
      <c r="C88" s="37"/>
      <c r="D88" s="37"/>
      <c r="E88" s="38" t="e">
        <f t="shared" si="3"/>
        <v>#DIV/0!</v>
      </c>
      <c r="F88" s="38">
        <f>SUM(D88-C88)</f>
        <v>0</v>
      </c>
    </row>
    <row r="89" spans="1:6" ht="15.75" customHeight="1">
      <c r="A89" s="35" t="s">
        <v>101</v>
      </c>
      <c r="B89" s="39" t="s">
        <v>102</v>
      </c>
      <c r="C89" s="37"/>
      <c r="D89" s="37"/>
      <c r="E89" s="38" t="e">
        <f t="shared" si="3"/>
        <v>#DIV/0!</v>
      </c>
      <c r="F89" s="38"/>
    </row>
    <row r="90" spans="1:6" ht="15.75" customHeight="1">
      <c r="A90" s="35" t="s">
        <v>103</v>
      </c>
      <c r="B90" s="39" t="s">
        <v>104</v>
      </c>
      <c r="C90" s="37"/>
      <c r="D90" s="37"/>
      <c r="E90" s="38" t="e">
        <f t="shared" si="3"/>
        <v>#DIV/0!</v>
      </c>
      <c r="F90" s="38"/>
    </row>
    <row r="91" spans="1:6" ht="15.75" customHeight="1">
      <c r="A91" s="35" t="s">
        <v>105</v>
      </c>
      <c r="B91" s="39" t="s">
        <v>106</v>
      </c>
      <c r="C91" s="37"/>
      <c r="D91" s="37"/>
      <c r="E91" s="38" t="e">
        <f t="shared" si="3"/>
        <v>#DIV/0!</v>
      </c>
      <c r="F91" s="38"/>
    </row>
    <row r="92" spans="1:6" s="6" customFormat="1" ht="18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0.75" customHeight="1">
      <c r="A93" s="53">
        <v>1401</v>
      </c>
      <c r="B93" s="54" t="s">
        <v>116</v>
      </c>
      <c r="C93" s="49"/>
      <c r="D93" s="37"/>
      <c r="E93" s="38" t="e">
        <f t="shared" si="3"/>
        <v>#DIV/0!</v>
      </c>
      <c r="F93" s="38">
        <f t="shared" si="4"/>
        <v>0</v>
      </c>
    </row>
    <row r="94" spans="1:6" ht="19.5" customHeight="1">
      <c r="A94" s="53">
        <v>1402</v>
      </c>
      <c r="B94" s="54" t="s">
        <v>117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8" customHeight="1">
      <c r="A95" s="53">
        <v>1403</v>
      </c>
      <c r="B95" s="54" t="s">
        <v>118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119</v>
      </c>
      <c r="C96" s="33">
        <f>C55+C63+C65+C70+C75+C79+C81+C86+C92</f>
        <v>5949.9020199999995</v>
      </c>
      <c r="D96" s="33">
        <f>D55+D63+D65+D70+D75+D79+D81+D86+D92</f>
        <v>1160.65777</v>
      </c>
      <c r="E96" s="34">
        <f t="shared" si="3"/>
        <v>19.507174506379521</v>
      </c>
      <c r="F96" s="34">
        <f t="shared" si="4"/>
        <v>-4789.2442499999997</v>
      </c>
    </row>
    <row r="97" spans="1:4" ht="0.75" customHeight="1">
      <c r="C97" s="126"/>
      <c r="D97" s="101"/>
    </row>
    <row r="98" spans="1:4" s="65" customFormat="1" ht="16.5" customHeight="1">
      <c r="A98" s="63" t="s">
        <v>120</v>
      </c>
      <c r="B98" s="63"/>
      <c r="C98" s="250"/>
      <c r="D98" s="250"/>
    </row>
    <row r="99" spans="1:4" s="65" customFormat="1" ht="20.25" customHeight="1">
      <c r="A99" s="66" t="s">
        <v>121</v>
      </c>
      <c r="B99" s="66"/>
      <c r="C99" s="65" t="s">
        <v>122</v>
      </c>
    </row>
    <row r="100" spans="1:4" ht="13.5" customHeight="1">
      <c r="C100" s="120"/>
    </row>
    <row r="101" spans="1:4" ht="5.25" customHeight="1"/>
    <row r="141" hidden="1"/>
  </sheetData>
  <customSheetViews>
    <customSheetView guid="{A54C432C-6C68-4B53-A75C-446EB3A61B2B}" scale="70" showPageBreaks="1" hiddenRows="1" view="pageBreakPreview" topLeftCell="A68">
      <selection activeCell="C141" sqref="C141:D141"/>
      <pageMargins left="0.7" right="0.7" top="0.75" bottom="0.75" header="0.3" footer="0.3"/>
      <pageSetup paperSize="9" scale="49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49" orientation="portrait" r:id="rId2"/>
    </customSheetView>
    <customSheetView guid="{42584DC0-1D41-4C93-9B38-C388E7B8DAC4}" scale="70" showPageBreaks="1" hiddenRows="1" view="pageBreakPreview">
      <selection activeCell="C141" sqref="C141:D141"/>
      <pageMargins left="0.7" right="0.7" top="0.75" bottom="0.75" header="0.3" footer="0.3"/>
      <pageSetup paperSize="9" scale="49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G141"/>
  <sheetViews>
    <sheetView tabSelected="1" view="pageBreakPreview" zoomScale="70" zoomScaleNormal="61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377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270.38308000000006</v>
      </c>
      <c r="E4" s="5">
        <f>SUM(D4/C4*100)</f>
        <v>18.226024941017869</v>
      </c>
      <c r="F4" s="5">
        <f>SUM(D4-C4)</f>
        <v>-1213.1169199999999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5">
        <f>D6</f>
        <v>23.092870000000001</v>
      </c>
      <c r="E5" s="5">
        <f t="shared" ref="E5:E50" si="0">SUM(D5/C5*100)</f>
        <v>22.035181297709926</v>
      </c>
      <c r="F5" s="5">
        <f t="shared" ref="F5:F50" si="1">SUM(D5-C5)</f>
        <v>-81.707129999999992</v>
      </c>
    </row>
    <row r="6" spans="1:6">
      <c r="A6" s="7">
        <v>1010200001</v>
      </c>
      <c r="B6" s="8" t="s">
        <v>229</v>
      </c>
      <c r="C6" s="9">
        <v>104.8</v>
      </c>
      <c r="D6" s="10">
        <v>23.092870000000001</v>
      </c>
      <c r="E6" s="9">
        <f t="shared" ref="E6:E11" si="2">SUM(D6/C6*100)</f>
        <v>22.035181297709926</v>
      </c>
      <c r="F6" s="9">
        <f t="shared" si="1"/>
        <v>-81.707129999999992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5">
        <f>D8+D10+D9+D11</f>
        <v>168.93475000000004</v>
      </c>
      <c r="E7" s="5">
        <f t="shared" si="2"/>
        <v>23.343201602874124</v>
      </c>
      <c r="F7" s="5">
        <f t="shared" si="1"/>
        <v>-554.76524999999992</v>
      </c>
    </row>
    <row r="8" spans="1:6">
      <c r="A8" s="7">
        <v>1030223001</v>
      </c>
      <c r="B8" s="8" t="s">
        <v>283</v>
      </c>
      <c r="C8" s="9">
        <v>269.94</v>
      </c>
      <c r="D8" s="10">
        <v>69.598380000000006</v>
      </c>
      <c r="E8" s="9">
        <f t="shared" si="2"/>
        <v>25.782907312736164</v>
      </c>
      <c r="F8" s="9">
        <f t="shared" si="1"/>
        <v>-200.34161999999998</v>
      </c>
    </row>
    <row r="9" spans="1:6">
      <c r="A9" s="7">
        <v>1030224001</v>
      </c>
      <c r="B9" s="8" t="s">
        <v>289</v>
      </c>
      <c r="C9" s="9">
        <v>2.9</v>
      </c>
      <c r="D9" s="10">
        <v>0.46915000000000001</v>
      </c>
      <c r="E9" s="9">
        <f>SUM(D9/C9*100)</f>
        <v>16.177586206896553</v>
      </c>
      <c r="F9" s="9">
        <f t="shared" si="1"/>
        <v>-2.43085</v>
      </c>
    </row>
    <row r="10" spans="1:6">
      <c r="A10" s="7">
        <v>1030225001</v>
      </c>
      <c r="B10" s="8" t="s">
        <v>282</v>
      </c>
      <c r="C10" s="9">
        <v>450.86</v>
      </c>
      <c r="D10" s="10">
        <v>113.36969000000001</v>
      </c>
      <c r="E10" s="9">
        <f t="shared" si="2"/>
        <v>25.145209155835513</v>
      </c>
      <c r="F10" s="9">
        <f t="shared" si="1"/>
        <v>-337.49031000000002</v>
      </c>
    </row>
    <row r="11" spans="1:6">
      <c r="A11" s="7">
        <v>1030226001</v>
      </c>
      <c r="B11" s="8" t="s">
        <v>291</v>
      </c>
      <c r="C11" s="9">
        <v>0</v>
      </c>
      <c r="D11" s="10">
        <v>-14.502470000000001</v>
      </c>
      <c r="E11" s="9" t="e">
        <f t="shared" si="2"/>
        <v>#DIV/0!</v>
      </c>
      <c r="F11" s="9">
        <f t="shared" si="1"/>
        <v>-14.502470000000001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25.569299999999998</v>
      </c>
      <c r="E12" s="5">
        <f t="shared" si="0"/>
        <v>170.46199999999999</v>
      </c>
      <c r="F12" s="5">
        <f t="shared" si="1"/>
        <v>10.569299999999998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25.569299999999998</v>
      </c>
      <c r="E13" s="9">
        <f t="shared" si="0"/>
        <v>170.46199999999999</v>
      </c>
      <c r="F13" s="9">
        <f t="shared" si="1"/>
        <v>10.569299999999998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5">
        <f>D15+D16</f>
        <v>51.08616</v>
      </c>
      <c r="E14" s="5">
        <f t="shared" si="0"/>
        <v>8.1089142857142864</v>
      </c>
      <c r="F14" s="5">
        <f t="shared" si="1"/>
        <v>-578.91384000000005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7.6666800000000004</v>
      </c>
      <c r="E15" s="9">
        <f t="shared" si="0"/>
        <v>4.7916749999999997</v>
      </c>
      <c r="F15" s="9">
        <f>SUM(D15-C15)</f>
        <v>-152.33331999999999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43.41948</v>
      </c>
      <c r="E16" s="9">
        <f t="shared" si="0"/>
        <v>9.2381872340425542</v>
      </c>
      <c r="F16" s="9">
        <f t="shared" si="1"/>
        <v>-426.58051999999998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1.7</v>
      </c>
      <c r="E17" s="5">
        <f t="shared" si="0"/>
        <v>17</v>
      </c>
      <c r="F17" s="5">
        <f t="shared" si="1"/>
        <v>-8.3000000000000007</v>
      </c>
    </row>
    <row r="18" spans="1:6" ht="15.75" customHeight="1">
      <c r="A18" s="7">
        <v>1080400001</v>
      </c>
      <c r="B18" s="8" t="s">
        <v>228</v>
      </c>
      <c r="C18" s="9">
        <v>10</v>
      </c>
      <c r="D18" s="10">
        <v>1.7</v>
      </c>
      <c r="E18" s="9">
        <f t="shared" si="0"/>
        <v>17</v>
      </c>
      <c r="F18" s="9">
        <f t="shared" si="1"/>
        <v>-8.3000000000000007</v>
      </c>
    </row>
    <row r="19" spans="1:6" ht="15.7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380</v>
      </c>
      <c r="D25" s="5">
        <f>D26+D29+D32+D37+D35</f>
        <v>29.029070000000001</v>
      </c>
      <c r="E25" s="5">
        <f t="shared" si="0"/>
        <v>7.6392289473684221</v>
      </c>
      <c r="F25" s="5">
        <f t="shared" si="1"/>
        <v>-350.97093000000001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330</v>
      </c>
      <c r="D26" s="5">
        <f>D27+D28</f>
        <v>19.25976</v>
      </c>
      <c r="E26" s="5">
        <f t="shared" si="0"/>
        <v>5.8362909090909092</v>
      </c>
      <c r="F26" s="5">
        <f t="shared" si="1"/>
        <v>-310.74023999999997</v>
      </c>
    </row>
    <row r="27" spans="1:6">
      <c r="A27" s="16">
        <v>1110502510</v>
      </c>
      <c r="B27" s="17" t="s">
        <v>226</v>
      </c>
      <c r="C27" s="12">
        <v>300</v>
      </c>
      <c r="D27" s="10">
        <v>0</v>
      </c>
      <c r="E27" s="9">
        <f t="shared" si="0"/>
        <v>0</v>
      </c>
      <c r="F27" s="9">
        <f t="shared" si="1"/>
        <v>-300</v>
      </c>
    </row>
    <row r="28" spans="1:6" ht="18" customHeight="1">
      <c r="A28" s="7">
        <v>1110503505</v>
      </c>
      <c r="B28" s="11" t="s">
        <v>225</v>
      </c>
      <c r="C28" s="12">
        <v>30</v>
      </c>
      <c r="D28" s="10">
        <v>19.25976</v>
      </c>
      <c r="E28" s="9">
        <f t="shared" si="0"/>
        <v>64.199200000000005</v>
      </c>
      <c r="F28" s="9">
        <f t="shared" si="1"/>
        <v>-10.74024</v>
      </c>
    </row>
    <row r="29" spans="1:6" s="15" customFormat="1" ht="18" customHeight="1">
      <c r="A29" s="68">
        <v>1130000000</v>
      </c>
      <c r="B29" s="69" t="s">
        <v>131</v>
      </c>
      <c r="C29" s="5">
        <f>C30</f>
        <v>50</v>
      </c>
      <c r="D29" s="5">
        <f>D30+D31</f>
        <v>10.02694</v>
      </c>
      <c r="E29" s="5">
        <f t="shared" si="0"/>
        <v>20.053879999999999</v>
      </c>
      <c r="F29" s="5">
        <f t="shared" si="1"/>
        <v>-39.973060000000004</v>
      </c>
    </row>
    <row r="30" spans="1:6" ht="15.75" customHeight="1">
      <c r="A30" s="7">
        <v>1130206510</v>
      </c>
      <c r="B30" s="8" t="s">
        <v>338</v>
      </c>
      <c r="C30" s="9">
        <v>50</v>
      </c>
      <c r="D30" s="348">
        <v>0</v>
      </c>
      <c r="E30" s="9">
        <f t="shared" si="0"/>
        <v>0</v>
      </c>
      <c r="F30" s="9">
        <f t="shared" si="1"/>
        <v>-50</v>
      </c>
    </row>
    <row r="31" spans="1:6" ht="15.75" customHeight="1">
      <c r="A31" s="7">
        <v>1130299510</v>
      </c>
      <c r="B31" s="8" t="s">
        <v>357</v>
      </c>
      <c r="C31" s="9">
        <v>0</v>
      </c>
      <c r="D31" s="348">
        <v>10.02694</v>
      </c>
      <c r="E31" s="9" t="e">
        <f>SUM(D31/C31*100)</f>
        <v>#DIV/0!</v>
      </c>
      <c r="F31" s="9">
        <f>SUM(D31-C31)</f>
        <v>10.02694</v>
      </c>
    </row>
    <row r="32" spans="1:6" ht="18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1863.5</v>
      </c>
      <c r="D40" s="127">
        <f>D4+D25</f>
        <v>299.41215000000005</v>
      </c>
      <c r="E40" s="5">
        <f t="shared" si="0"/>
        <v>16.067193453179502</v>
      </c>
      <c r="F40" s="5">
        <f t="shared" si="1"/>
        <v>-1564.0878499999999</v>
      </c>
    </row>
    <row r="41" spans="1:7" s="6" customFormat="1">
      <c r="A41" s="3">
        <v>2000000000</v>
      </c>
      <c r="B41" s="4" t="s">
        <v>20</v>
      </c>
      <c r="C41" s="5">
        <f>C42+C43+C44+C45+C46+C48</f>
        <v>2691.6890000000003</v>
      </c>
      <c r="D41" s="5">
        <f>D42+D43+D44+D45+D46+D48</f>
        <v>649.92300000000012</v>
      </c>
      <c r="E41" s="5">
        <f t="shared" si="0"/>
        <v>24.14554578927952</v>
      </c>
      <c r="F41" s="5">
        <f t="shared" si="1"/>
        <v>-2041.7660000000001</v>
      </c>
      <c r="G41" s="19"/>
    </row>
    <row r="42" spans="1:7">
      <c r="A42" s="16">
        <v>2021000000</v>
      </c>
      <c r="B42" s="17" t="s">
        <v>21</v>
      </c>
      <c r="C42" s="99">
        <f>1342.7+6.529</f>
        <v>1349.229</v>
      </c>
      <c r="D42" s="20">
        <v>447.56400000000002</v>
      </c>
      <c r="E42" s="9">
        <f t="shared" si="0"/>
        <v>33.171833691686139</v>
      </c>
      <c r="F42" s="9">
        <f t="shared" si="1"/>
        <v>-901.66499999999996</v>
      </c>
    </row>
    <row r="43" spans="1:7" ht="15.75" customHeight="1">
      <c r="A43" s="16">
        <v>2021500200</v>
      </c>
      <c r="B43" s="17" t="s">
        <v>232</v>
      </c>
      <c r="C43" s="99">
        <v>454</v>
      </c>
      <c r="D43" s="20">
        <v>113.5</v>
      </c>
      <c r="E43" s="9">
        <f>SUM(D43/C43*100)</f>
        <v>25</v>
      </c>
      <c r="F43" s="9">
        <f>SUM(D43-C43)</f>
        <v>-340.5</v>
      </c>
    </row>
    <row r="44" spans="1:7">
      <c r="A44" s="16">
        <v>2022000000</v>
      </c>
      <c r="B44" s="17" t="s">
        <v>22</v>
      </c>
      <c r="C44" s="99">
        <v>682.58</v>
      </c>
      <c r="D44" s="10">
        <v>0</v>
      </c>
      <c r="E44" s="9">
        <f t="shared" si="0"/>
        <v>0</v>
      </c>
      <c r="F44" s="9">
        <f t="shared" si="1"/>
        <v>-682.58</v>
      </c>
    </row>
    <row r="45" spans="1:7">
      <c r="A45" s="16">
        <v>2023000000</v>
      </c>
      <c r="B45" s="17" t="s">
        <v>23</v>
      </c>
      <c r="C45" s="12">
        <v>153.28</v>
      </c>
      <c r="D45" s="252">
        <v>36.259</v>
      </c>
      <c r="E45" s="9">
        <f t="shared" si="0"/>
        <v>23.655401878914407</v>
      </c>
      <c r="F45" s="9">
        <f t="shared" si="1"/>
        <v>-117.021</v>
      </c>
    </row>
    <row r="46" spans="1:7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36.75" customHeight="1">
      <c r="A47" s="16">
        <v>2020900000</v>
      </c>
      <c r="B47" s="18" t="s">
        <v>25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16">
        <v>2070500010</v>
      </c>
      <c r="B48" s="8" t="s">
        <v>355</v>
      </c>
      <c r="C48" s="12">
        <v>52.6</v>
      </c>
      <c r="D48" s="253">
        <v>52.6</v>
      </c>
      <c r="E48" s="9">
        <f t="shared" si="0"/>
        <v>100</v>
      </c>
      <c r="F48" s="9">
        <f t="shared" si="1"/>
        <v>0</v>
      </c>
    </row>
    <row r="49" spans="1:7" s="6" customFormat="1" ht="0.75" customHeight="1">
      <c r="A49" s="3">
        <v>3000000000</v>
      </c>
      <c r="B49" s="13" t="s">
        <v>27</v>
      </c>
      <c r="C49" s="2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3"/>
      <c r="B50" s="4" t="s">
        <v>28</v>
      </c>
      <c r="C50" s="289">
        <f>C40+C41</f>
        <v>4555.1890000000003</v>
      </c>
      <c r="D50" s="289">
        <f>D40+D41</f>
        <v>949.33515000000011</v>
      </c>
      <c r="E50" s="93">
        <f t="shared" si="0"/>
        <v>20.840741185491975</v>
      </c>
      <c r="F50" s="93">
        <f t="shared" si="1"/>
        <v>-3605.8538500000004</v>
      </c>
      <c r="G50" s="305"/>
    </row>
    <row r="51" spans="1:7" s="6" customFormat="1">
      <c r="A51" s="3"/>
      <c r="B51" s="21" t="s">
        <v>321</v>
      </c>
      <c r="C51" s="289">
        <f>C50-C97</f>
        <v>-307.03722999999991</v>
      </c>
      <c r="D51" s="289">
        <f>D50-D97</f>
        <v>294.85593000000017</v>
      </c>
      <c r="E51" s="290"/>
      <c r="F51" s="290"/>
    </row>
    <row r="52" spans="1:7">
      <c r="A52" s="23"/>
      <c r="B52" s="24"/>
      <c r="C52" s="251"/>
      <c r="D52" s="251"/>
      <c r="E52" s="26"/>
      <c r="F52" s="27"/>
    </row>
    <row r="53" spans="1:7" ht="45" customHeight="1">
      <c r="A53" s="28" t="s">
        <v>1</v>
      </c>
      <c r="B53" s="28" t="s">
        <v>29</v>
      </c>
      <c r="C53" s="244" t="s">
        <v>346</v>
      </c>
      <c r="D53" s="245" t="s">
        <v>360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2.25" customHeight="1">
      <c r="A55" s="30" t="s">
        <v>30</v>
      </c>
      <c r="B55" s="31" t="s">
        <v>31</v>
      </c>
      <c r="C55" s="32">
        <f>C56+C57+C58+C59+C60+C62+C61</f>
        <v>1103.277</v>
      </c>
      <c r="D55" s="33">
        <f>D56+D57+D58+D59+D60+D62+D61</f>
        <v>207.74213</v>
      </c>
      <c r="E55" s="34">
        <f>SUM(D55/C55*100)</f>
        <v>18.829553230965569</v>
      </c>
      <c r="F55" s="34">
        <f>SUM(D55-C55)</f>
        <v>-895.53487000000007</v>
      </c>
    </row>
    <row r="56" spans="1:7" s="6" customFormat="1" ht="31.5">
      <c r="A56" s="35" t="s">
        <v>32</v>
      </c>
      <c r="B56" s="36" t="s">
        <v>33</v>
      </c>
      <c r="C56" s="37"/>
      <c r="D56" s="37"/>
      <c r="E56" s="38"/>
      <c r="F56" s="38"/>
    </row>
    <row r="57" spans="1:7">
      <c r="A57" s="35" t="s">
        <v>34</v>
      </c>
      <c r="B57" s="39" t="s">
        <v>35</v>
      </c>
      <c r="C57" s="37">
        <v>1093.829</v>
      </c>
      <c r="D57" s="37">
        <v>207.74213</v>
      </c>
      <c r="E57" s="38">
        <f t="shared" ref="E57:E97" si="3">SUM(D57/C57*100)</f>
        <v>18.99219439235932</v>
      </c>
      <c r="F57" s="38">
        <f t="shared" ref="F57:F97" si="4">SUM(D57-C57)</f>
        <v>-886.08686999999998</v>
      </c>
    </row>
    <row r="58" spans="1:7" ht="16.5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7" ht="31.5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7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7" ht="18" customHeight="1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3"/>
        <v>0</v>
      </c>
      <c r="F61" s="38">
        <f t="shared" si="4"/>
        <v>-5</v>
      </c>
    </row>
    <row r="62" spans="1:7" ht="15.75" customHeight="1">
      <c r="A62" s="35" t="s">
        <v>44</v>
      </c>
      <c r="B62" s="39" t="s">
        <v>45</v>
      </c>
      <c r="C62" s="37">
        <v>4.4480000000000004</v>
      </c>
      <c r="D62" s="37">
        <v>0</v>
      </c>
      <c r="E62" s="38">
        <f t="shared" si="3"/>
        <v>0</v>
      </c>
      <c r="F62" s="38">
        <f t="shared" si="4"/>
        <v>-4.4480000000000004</v>
      </c>
    </row>
    <row r="63" spans="1:7" s="6" customFormat="1">
      <c r="A63" s="41" t="s">
        <v>46</v>
      </c>
      <c r="B63" s="42" t="s">
        <v>47</v>
      </c>
      <c r="C63" s="32">
        <f>C64</f>
        <v>150.88</v>
      </c>
      <c r="D63" s="32">
        <f>D64</f>
        <v>28.411999999999999</v>
      </c>
      <c r="E63" s="34">
        <f t="shared" si="3"/>
        <v>18.830858960763521</v>
      </c>
      <c r="F63" s="34">
        <f t="shared" si="4"/>
        <v>-122.46799999999999</v>
      </c>
    </row>
    <row r="64" spans="1:7">
      <c r="A64" s="43" t="s">
        <v>48</v>
      </c>
      <c r="B64" s="44" t="s">
        <v>49</v>
      </c>
      <c r="C64" s="37">
        <v>150.88</v>
      </c>
      <c r="D64" s="37">
        <v>28.411999999999999</v>
      </c>
      <c r="E64" s="38">
        <f t="shared" si="3"/>
        <v>18.830858960763521</v>
      </c>
      <c r="F64" s="38">
        <f t="shared" si="4"/>
        <v>-122.46799999999999</v>
      </c>
    </row>
    <row r="65" spans="1:7" s="6" customFormat="1">
      <c r="A65" s="30" t="s">
        <v>50</v>
      </c>
      <c r="B65" s="31" t="s">
        <v>51</v>
      </c>
      <c r="C65" s="32">
        <f>C68+C69</f>
        <v>7</v>
      </c>
      <c r="D65" s="32">
        <f>SUM(D66:D68)</f>
        <v>0</v>
      </c>
      <c r="E65" s="34">
        <f t="shared" si="3"/>
        <v>0</v>
      </c>
      <c r="F65" s="34">
        <f t="shared" si="4"/>
        <v>-7</v>
      </c>
    </row>
    <row r="66" spans="1:7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2</v>
      </c>
      <c r="D68" s="37">
        <v>0</v>
      </c>
      <c r="E68" s="34">
        <f t="shared" si="3"/>
        <v>0</v>
      </c>
      <c r="F68" s="34">
        <f t="shared" si="4"/>
        <v>-2</v>
      </c>
    </row>
    <row r="69" spans="1:7" ht="15.75" customHeight="1">
      <c r="A69" s="46" t="s">
        <v>219</v>
      </c>
      <c r="B69" s="47" t="s">
        <v>220</v>
      </c>
      <c r="C69" s="37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s="6" customFormat="1" ht="18.75" customHeight="1">
      <c r="A70" s="30" t="s">
        <v>58</v>
      </c>
      <c r="B70" s="31" t="s">
        <v>59</v>
      </c>
      <c r="C70" s="48">
        <f>SUM(C71:C75)</f>
        <v>2008.3172299999999</v>
      </c>
      <c r="D70" s="48">
        <f>SUM(D71:D75)</f>
        <v>136.69332</v>
      </c>
      <c r="E70" s="34">
        <f t="shared" si="3"/>
        <v>6.8063609651947274</v>
      </c>
      <c r="F70" s="34">
        <f t="shared" si="4"/>
        <v>-1871.6239099999998</v>
      </c>
    </row>
    <row r="71" spans="1:7" ht="15" customHeight="1">
      <c r="A71" s="35" t="s">
        <v>60</v>
      </c>
      <c r="B71" s="39" t="s">
        <v>61</v>
      </c>
      <c r="C71" s="49">
        <f>2.4+6.35</f>
        <v>8.75</v>
      </c>
      <c r="D71" s="37">
        <v>0</v>
      </c>
      <c r="E71" s="38">
        <f t="shared" si="3"/>
        <v>0</v>
      </c>
      <c r="F71" s="38">
        <f t="shared" si="4"/>
        <v>-8.75</v>
      </c>
    </row>
    <row r="72" spans="1:7" s="6" customFormat="1" ht="17.25" customHeight="1">
      <c r="A72" s="35" t="s">
        <v>62</v>
      </c>
      <c r="B72" s="39" t="s">
        <v>63</v>
      </c>
      <c r="C72" s="49">
        <v>135</v>
      </c>
      <c r="D72" s="37">
        <v>33.5</v>
      </c>
      <c r="E72" s="38">
        <f t="shared" si="3"/>
        <v>24.814814814814813</v>
      </c>
      <c r="F72" s="38">
        <f t="shared" si="4"/>
        <v>-101.5</v>
      </c>
      <c r="G72" s="50"/>
    </row>
    <row r="73" spans="1:7" s="6" customFormat="1" ht="15" customHeight="1">
      <c r="A73" s="35" t="s">
        <v>62</v>
      </c>
      <c r="B73" s="39" t="s">
        <v>63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  <c r="G73" s="50"/>
    </row>
    <row r="74" spans="1:7">
      <c r="A74" s="35" t="s">
        <v>64</v>
      </c>
      <c r="B74" s="39" t="s">
        <v>65</v>
      </c>
      <c r="C74" s="49">
        <f>1551.76723+262.8</f>
        <v>1814.5672299999999</v>
      </c>
      <c r="D74" s="37">
        <v>103.19332</v>
      </c>
      <c r="E74" s="38">
        <f t="shared" si="3"/>
        <v>5.6869383671168805</v>
      </c>
      <c r="F74" s="38">
        <f t="shared" si="4"/>
        <v>-1711.3739099999998</v>
      </c>
    </row>
    <row r="75" spans="1:7">
      <c r="A75" s="35" t="s">
        <v>66</v>
      </c>
      <c r="B75" s="39" t="s">
        <v>67</v>
      </c>
      <c r="C75" s="49">
        <v>50</v>
      </c>
      <c r="D75" s="37">
        <v>0</v>
      </c>
      <c r="E75" s="38">
        <f t="shared" si="3"/>
        <v>0</v>
      </c>
      <c r="F75" s="38">
        <f t="shared" si="4"/>
        <v>-50</v>
      </c>
    </row>
    <row r="76" spans="1:7" s="6" customFormat="1" ht="15" customHeight="1">
      <c r="A76" s="30" t="s">
        <v>68</v>
      </c>
      <c r="B76" s="31" t="s">
        <v>69</v>
      </c>
      <c r="C76" s="32">
        <f>SUM(C77:C79)</f>
        <v>361.15199999999999</v>
      </c>
      <c r="D76" s="32">
        <f>SUM(D77:D79)</f>
        <v>9.2317699999999991</v>
      </c>
      <c r="E76" s="34">
        <f t="shared" si="3"/>
        <v>2.5562007132730815</v>
      </c>
      <c r="F76" s="34">
        <f t="shared" si="4"/>
        <v>-351.92023</v>
      </c>
    </row>
    <row r="77" spans="1:7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f>223+123.152+15</f>
        <v>361.15199999999999</v>
      </c>
      <c r="D79" s="37">
        <v>9.2317699999999991</v>
      </c>
      <c r="E79" s="38">
        <f t="shared" si="3"/>
        <v>2.5562007132730815</v>
      </c>
      <c r="F79" s="38">
        <f t="shared" si="4"/>
        <v>-351.92023</v>
      </c>
    </row>
    <row r="80" spans="1:7" s="6" customFormat="1">
      <c r="A80" s="30" t="s">
        <v>86</v>
      </c>
      <c r="B80" s="31" t="s">
        <v>87</v>
      </c>
      <c r="C80" s="32">
        <f>C81</f>
        <v>1221.5999999999999</v>
      </c>
      <c r="D80" s="32">
        <f>D81</f>
        <v>272.39999999999998</v>
      </c>
      <c r="E80" s="34">
        <f t="shared" si="3"/>
        <v>22.29862475442043</v>
      </c>
      <c r="F80" s="34">
        <f t="shared" si="4"/>
        <v>-949.19999999999993</v>
      </c>
    </row>
    <row r="81" spans="1:6" ht="16.5" customHeight="1">
      <c r="A81" s="35" t="s">
        <v>88</v>
      </c>
      <c r="B81" s="39" t="s">
        <v>234</v>
      </c>
      <c r="C81" s="37">
        <v>1221.5999999999999</v>
      </c>
      <c r="D81" s="37">
        <v>272.39999999999998</v>
      </c>
      <c r="E81" s="38">
        <f t="shared" si="3"/>
        <v>22.29862475442043</v>
      </c>
      <c r="F81" s="38">
        <f t="shared" si="4"/>
        <v>-949.19999999999993</v>
      </c>
    </row>
    <row r="82" spans="1:6" s="6" customFormat="1" ht="0.75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6.5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.5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9.5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 ht="16.5" customHeight="1">
      <c r="A87" s="30" t="s">
        <v>95</v>
      </c>
      <c r="B87" s="31" t="s">
        <v>96</v>
      </c>
      <c r="C87" s="32">
        <f>C88+C89+C90+C91+C92</f>
        <v>0</v>
      </c>
      <c r="D87" s="32">
        <f>D88+D89+D90+D91+D92</f>
        <v>0</v>
      </c>
      <c r="E87" s="38" t="e">
        <f t="shared" si="3"/>
        <v>#DIV/0!</v>
      </c>
      <c r="F87" s="22">
        <f>F88+F89+F90+F91+F92</f>
        <v>0</v>
      </c>
    </row>
    <row r="88" spans="1:6" ht="13.5" customHeight="1">
      <c r="A88" s="35" t="s">
        <v>97</v>
      </c>
      <c r="B88" s="39" t="s">
        <v>98</v>
      </c>
      <c r="C88" s="37">
        <v>0</v>
      </c>
      <c r="D88" s="37">
        <v>0</v>
      </c>
      <c r="E88" s="38" t="e">
        <f t="shared" si="3"/>
        <v>#DIV/0!</v>
      </c>
      <c r="F88" s="38">
        <f>SUM(D88-C88)</f>
        <v>0</v>
      </c>
    </row>
    <row r="89" spans="1:6" ht="15.75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" customHeight="1">
      <c r="A93" s="52">
        <v>1400</v>
      </c>
      <c r="B93" s="56" t="s">
        <v>115</v>
      </c>
      <c r="C93" s="48"/>
      <c r="D93" s="48">
        <v>0</v>
      </c>
      <c r="E93" s="34" t="e">
        <f t="shared" si="3"/>
        <v>#DIV/0!</v>
      </c>
      <c r="F93" s="34">
        <f t="shared" si="4"/>
        <v>0</v>
      </c>
    </row>
    <row r="94" spans="1:6" ht="15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8" customHeight="1">
      <c r="A95" s="30" t="s">
        <v>95</v>
      </c>
      <c r="B95" s="31" t="s">
        <v>96</v>
      </c>
      <c r="C95" s="48">
        <f>C96</f>
        <v>10</v>
      </c>
      <c r="D95" s="37">
        <f>D96</f>
        <v>0</v>
      </c>
      <c r="E95" s="38">
        <f t="shared" si="3"/>
        <v>0</v>
      </c>
      <c r="F95" s="38">
        <f t="shared" si="4"/>
        <v>-10</v>
      </c>
    </row>
    <row r="96" spans="1:6" ht="18" customHeight="1">
      <c r="A96" s="35" t="s">
        <v>97</v>
      </c>
      <c r="B96" s="39" t="s">
        <v>98</v>
      </c>
      <c r="C96" s="49">
        <v>10</v>
      </c>
      <c r="D96" s="241">
        <v>0</v>
      </c>
      <c r="E96" s="38">
        <f t="shared" si="3"/>
        <v>0</v>
      </c>
      <c r="F96" s="38">
        <f t="shared" si="4"/>
        <v>-10</v>
      </c>
    </row>
    <row r="97" spans="1:6" s="6" customFormat="1">
      <c r="A97" s="52"/>
      <c r="B97" s="57" t="s">
        <v>119</v>
      </c>
      <c r="C97" s="33">
        <f>C55+C63+C65+C70+C76+C80+C95</f>
        <v>4862.2262300000002</v>
      </c>
      <c r="D97" s="33">
        <f>D55+D63+D65+D70+D76+D80+D87+D82+D93+D95</f>
        <v>654.47921999999994</v>
      </c>
      <c r="E97" s="34">
        <f t="shared" si="3"/>
        <v>13.460484745893856</v>
      </c>
      <c r="F97" s="34">
        <f t="shared" si="4"/>
        <v>-4207.74701</v>
      </c>
    </row>
    <row r="98" spans="1:6" ht="16.5" customHeight="1">
      <c r="C98" s="126"/>
      <c r="D98" s="101"/>
    </row>
    <row r="99" spans="1:6" s="65" customFormat="1" ht="20.25" customHeight="1">
      <c r="A99" s="63" t="s">
        <v>120</v>
      </c>
      <c r="B99" s="63"/>
      <c r="C99" s="116"/>
      <c r="D99" s="64" t="s">
        <v>275</v>
      </c>
    </row>
    <row r="100" spans="1:6" s="65" customFormat="1" ht="13.5" customHeight="1">
      <c r="A100" s="66" t="s">
        <v>121</v>
      </c>
      <c r="B100" s="66"/>
      <c r="C100" s="65" t="s">
        <v>122</v>
      </c>
    </row>
    <row r="102" spans="1:6" ht="5.25" customHeight="1"/>
    <row r="141" hidden="1"/>
  </sheetData>
  <customSheetViews>
    <customSheetView guid="{A54C432C-6C68-4B53-A75C-446EB3A61B2B}" scale="70" showPageBreaks="1" printArea="1" hiddenRows="1" view="pageBreakPreview" topLeftCell="A51">
      <selection activeCell="C141" sqref="C141:D141"/>
      <pageMargins left="0.7" right="0.7" top="0.75" bottom="0.75" header="0.3" footer="0.3"/>
      <pageSetup paperSize="9" scale="48" orientation="portrait" r:id="rId1"/>
    </customSheetView>
    <customSheetView guid="{5BFCA170-DEAE-4D2C-98A0-1E68B427AC01}" scale="70" showPageBreaks="1" printArea="1" hiddenRows="1" view="pageBreakPreview">
      <selection activeCell="A2" sqref="A2:F2"/>
      <pageMargins left="0.7" right="0.7" top="0.75" bottom="0.75" header="0.3" footer="0.3"/>
      <pageSetup paperSize="9" scale="48" orientation="portrait" r:id="rId2"/>
    </customSheetView>
    <customSheetView guid="{42584DC0-1D41-4C93-9B38-C388E7B8DAC4}" scale="70" showPageBreaks="1" printArea="1" hiddenRows="1" view="pageBreakPreview">
      <selection activeCell="C141" sqref="C141:D141"/>
      <pageMargins left="0.7" right="0.7" top="0.75" bottom="0.75" header="0.3" footer="0.3"/>
      <pageSetup paperSize="9" scale="48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48" orientation="portrait" r:id="rId4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376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5">
        <f>D5+D12+D14+D17+D7</f>
        <v>120.931</v>
      </c>
      <c r="E4" s="5">
        <f>SUM(D4/C4*100)</f>
        <v>12.937948004707392</v>
      </c>
      <c r="F4" s="5">
        <f>SUM(D4-C4)</f>
        <v>-813.76900000000001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5">
        <f>D6</f>
        <v>6.3872600000000004</v>
      </c>
      <c r="E5" s="5">
        <f t="shared" ref="E5:E49" si="0">SUM(D5/C5*100)</f>
        <v>7.4443589743589751</v>
      </c>
      <c r="F5" s="5">
        <f t="shared" ref="F5:F49" si="1">SUM(D5-C5)</f>
        <v>-79.412739999999999</v>
      </c>
    </row>
    <row r="6" spans="1:6">
      <c r="A6" s="7">
        <v>1010200001</v>
      </c>
      <c r="B6" s="8" t="s">
        <v>229</v>
      </c>
      <c r="C6" s="9">
        <v>85.8</v>
      </c>
      <c r="D6" s="10">
        <v>6.3872600000000004</v>
      </c>
      <c r="E6" s="9">
        <f t="shared" ref="E6:E11" si="2">SUM(D6/C6*100)</f>
        <v>7.4443589743589751</v>
      </c>
      <c r="F6" s="9">
        <f t="shared" si="1"/>
        <v>-79.412739999999999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5">
        <f>D8+D10+D9+D11</f>
        <v>77.241579999999999</v>
      </c>
      <c r="E7" s="5">
        <f t="shared" si="2"/>
        <v>23.34287700211544</v>
      </c>
      <c r="F7" s="5">
        <f t="shared" si="1"/>
        <v>-253.65842000000004</v>
      </c>
    </row>
    <row r="8" spans="1:6">
      <c r="A8" s="7">
        <v>1030223001</v>
      </c>
      <c r="B8" s="8" t="s">
        <v>283</v>
      </c>
      <c r="C8" s="9">
        <v>123.43</v>
      </c>
      <c r="D8" s="10">
        <v>31.82227</v>
      </c>
      <c r="E8" s="9">
        <f t="shared" si="2"/>
        <v>25.781633314429232</v>
      </c>
      <c r="F8" s="9">
        <f t="shared" si="1"/>
        <v>-91.607730000000004</v>
      </c>
    </row>
    <row r="9" spans="1:6">
      <c r="A9" s="7">
        <v>1030224001</v>
      </c>
      <c r="B9" s="8" t="s">
        <v>289</v>
      </c>
      <c r="C9" s="9">
        <v>1.32</v>
      </c>
      <c r="D9" s="10">
        <v>0.21454000000000001</v>
      </c>
      <c r="E9" s="9">
        <f t="shared" si="2"/>
        <v>16.253030303030304</v>
      </c>
      <c r="F9" s="9">
        <f t="shared" si="1"/>
        <v>-1.1054600000000001</v>
      </c>
    </row>
    <row r="10" spans="1:6">
      <c r="A10" s="7">
        <v>1030225001</v>
      </c>
      <c r="B10" s="8" t="s">
        <v>282</v>
      </c>
      <c r="C10" s="9">
        <v>206.15</v>
      </c>
      <c r="D10" s="10">
        <v>51.835700000000003</v>
      </c>
      <c r="E10" s="9">
        <f t="shared" si="2"/>
        <v>25.1446519524618</v>
      </c>
      <c r="F10" s="9">
        <f t="shared" si="1"/>
        <v>-154.3143</v>
      </c>
    </row>
    <row r="11" spans="1:6">
      <c r="A11" s="7">
        <v>1030226001</v>
      </c>
      <c r="B11" s="8" t="s">
        <v>291</v>
      </c>
      <c r="C11" s="9">
        <v>0</v>
      </c>
      <c r="D11" s="10">
        <v>-6.6309300000000002</v>
      </c>
      <c r="E11" s="9" t="e">
        <f t="shared" si="2"/>
        <v>#DIV/0!</v>
      </c>
      <c r="F11" s="9">
        <f t="shared" si="1"/>
        <v>-6.6309300000000002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2.532</v>
      </c>
      <c r="E12" s="5">
        <f t="shared" si="0"/>
        <v>25.319999999999997</v>
      </c>
      <c r="F12" s="5">
        <f t="shared" si="1"/>
        <v>-7.468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2.532</v>
      </c>
      <c r="E13" s="9">
        <f t="shared" si="0"/>
        <v>25.319999999999997</v>
      </c>
      <c r="F13" s="9">
        <f t="shared" si="1"/>
        <v>-7.468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500</v>
      </c>
      <c r="D14" s="5">
        <f>D15+D16</f>
        <v>33.47016</v>
      </c>
      <c r="E14" s="5">
        <f t="shared" si="0"/>
        <v>6.694032</v>
      </c>
      <c r="F14" s="5">
        <f t="shared" si="1"/>
        <v>-466.52983999999998</v>
      </c>
    </row>
    <row r="15" spans="1:6" s="6" customFormat="1" ht="15.75" customHeight="1">
      <c r="A15" s="7">
        <v>1060100000</v>
      </c>
      <c r="B15" s="11" t="s">
        <v>9</v>
      </c>
      <c r="C15" s="9">
        <v>110</v>
      </c>
      <c r="D15" s="10">
        <v>0.98690999999999995</v>
      </c>
      <c r="E15" s="9">
        <f t="shared" si="0"/>
        <v>0.89719090909090915</v>
      </c>
      <c r="F15" s="9">
        <f>SUM(D15-C15)</f>
        <v>-109.01309000000001</v>
      </c>
    </row>
    <row r="16" spans="1:6" ht="15.75" customHeight="1">
      <c r="A16" s="7">
        <v>1060600000</v>
      </c>
      <c r="B16" s="11" t="s">
        <v>8</v>
      </c>
      <c r="C16" s="9">
        <v>390</v>
      </c>
      <c r="D16" s="10">
        <v>32.483249999999998</v>
      </c>
      <c r="E16" s="9">
        <f t="shared" si="0"/>
        <v>8.3290384615384614</v>
      </c>
      <c r="F16" s="9">
        <f t="shared" si="1"/>
        <v>-357.51675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1.3</v>
      </c>
      <c r="E17" s="5">
        <f t="shared" si="0"/>
        <v>16.25</v>
      </c>
      <c r="F17" s="5">
        <f t="shared" si="1"/>
        <v>-6.7</v>
      </c>
    </row>
    <row r="18" spans="1:6" ht="18.75" customHeight="1">
      <c r="A18" s="7">
        <v>1080400001</v>
      </c>
      <c r="B18" s="8" t="s">
        <v>228</v>
      </c>
      <c r="C18" s="9">
        <v>8</v>
      </c>
      <c r="D18" s="10">
        <v>1.3</v>
      </c>
      <c r="E18" s="9">
        <f t="shared" si="0"/>
        <v>16.25</v>
      </c>
      <c r="F18" s="9">
        <f t="shared" si="1"/>
        <v>-6.7</v>
      </c>
    </row>
    <row r="19" spans="1:6" ht="47.2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5">
        <f>D27+D29</f>
        <v>3.5189999999999999E-2</v>
      </c>
      <c r="E25" s="5">
        <f t="shared" si="0"/>
        <v>0.10663636363636364</v>
      </c>
      <c r="F25" s="5">
        <f t="shared" si="1"/>
        <v>-32.96481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5">
        <f>D27</f>
        <v>3.5189999999999999E-2</v>
      </c>
      <c r="E26" s="5">
        <f t="shared" si="0"/>
        <v>0.10663636363636364</v>
      </c>
      <c r="F26" s="5">
        <f t="shared" si="1"/>
        <v>-32.96481</v>
      </c>
    </row>
    <row r="27" spans="1:6">
      <c r="A27" s="16">
        <v>1110502510</v>
      </c>
      <c r="B27" s="17" t="s">
        <v>226</v>
      </c>
      <c r="C27" s="12">
        <v>33</v>
      </c>
      <c r="D27" s="10">
        <v>3.5189999999999999E-2</v>
      </c>
      <c r="E27" s="9">
        <f t="shared" si="0"/>
        <v>0.10663636363636364</v>
      </c>
      <c r="F27" s="9">
        <f t="shared" si="1"/>
        <v>-32.96481</v>
      </c>
    </row>
    <row r="28" spans="1:6" ht="20.25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7.25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22.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127">
        <f>D4+D25</f>
        <v>120.96619</v>
      </c>
      <c r="E37" s="5">
        <f t="shared" si="0"/>
        <v>12.500381316523715</v>
      </c>
      <c r="F37" s="5">
        <f t="shared" si="1"/>
        <v>-846.73381000000006</v>
      </c>
    </row>
    <row r="38" spans="1:7" s="6" customFormat="1">
      <c r="A38" s="3">
        <v>2000000000</v>
      </c>
      <c r="B38" s="4" t="s">
        <v>20</v>
      </c>
      <c r="C38" s="5">
        <f>C39+C41+C42+C43+C44+C45</f>
        <v>2638.9470000000001</v>
      </c>
      <c r="D38" s="5">
        <f>D39+D41+D42+D43</f>
        <v>532.38699999999994</v>
      </c>
      <c r="E38" s="5">
        <f t="shared" si="0"/>
        <v>20.174221005575326</v>
      </c>
      <c r="F38" s="5">
        <f t="shared" si="1"/>
        <v>-2106.5600000000004</v>
      </c>
      <c r="G38" s="19"/>
    </row>
    <row r="39" spans="1:7" ht="14.25" customHeight="1">
      <c r="A39" s="16">
        <v>2021000000</v>
      </c>
      <c r="B39" s="17" t="s">
        <v>21</v>
      </c>
      <c r="C39" s="99">
        <f>1221.5+18.942</f>
        <v>1240.442</v>
      </c>
      <c r="D39" s="20">
        <v>407.16399999999999</v>
      </c>
      <c r="E39" s="9">
        <f t="shared" si="0"/>
        <v>32.82410624599941</v>
      </c>
      <c r="F39" s="9">
        <f t="shared" si="1"/>
        <v>-833.27800000000002</v>
      </c>
    </row>
    <row r="40" spans="1:7" ht="15.75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730</v>
      </c>
      <c r="D41" s="20">
        <v>107.5</v>
      </c>
      <c r="E41" s="9">
        <f t="shared" si="0"/>
        <v>14.726027397260275</v>
      </c>
      <c r="F41" s="9">
        <f t="shared" si="1"/>
        <v>-622.5</v>
      </c>
    </row>
    <row r="42" spans="1:7">
      <c r="A42" s="16">
        <v>2022000000</v>
      </c>
      <c r="B42" s="17" t="s">
        <v>22</v>
      </c>
      <c r="C42" s="99">
        <v>505.51</v>
      </c>
      <c r="D42" s="10">
        <v>0</v>
      </c>
      <c r="E42" s="9"/>
      <c r="F42" s="9">
        <f t="shared" si="1"/>
        <v>-505.51</v>
      </c>
    </row>
    <row r="43" spans="1:7">
      <c r="A43" s="16">
        <v>2023000000</v>
      </c>
      <c r="B43" s="17" t="s">
        <v>23</v>
      </c>
      <c r="C43" s="12">
        <v>72.995000000000005</v>
      </c>
      <c r="D43" s="252">
        <v>17.722999999999999</v>
      </c>
      <c r="E43" s="9">
        <f t="shared" si="0"/>
        <v>24.279745188026574</v>
      </c>
      <c r="F43" s="9">
        <f t="shared" si="1"/>
        <v>-55.272000000000006</v>
      </c>
    </row>
    <row r="44" spans="1:7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 ht="19.5" customHeight="1">
      <c r="A45" s="16">
        <v>2070500010</v>
      </c>
      <c r="B45" s="8" t="s">
        <v>355</v>
      </c>
      <c r="C45" s="12">
        <v>90</v>
      </c>
      <c r="D45" s="253">
        <v>0</v>
      </c>
      <c r="E45" s="9">
        <f t="shared" si="0"/>
        <v>0</v>
      </c>
      <c r="F45" s="9">
        <f t="shared" si="1"/>
        <v>-90</v>
      </c>
    </row>
    <row r="46" spans="1:7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31.5">
      <c r="A47" s="3">
        <v>3000000000</v>
      </c>
      <c r="B47" s="13" t="s">
        <v>27</v>
      </c>
      <c r="C47" s="28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>
      <c r="A48" s="3">
        <v>2190500010</v>
      </c>
      <c r="B48" s="13" t="s">
        <v>326</v>
      </c>
      <c r="C48" s="286">
        <v>0</v>
      </c>
      <c r="D48" s="14">
        <v>0</v>
      </c>
      <c r="E48" s="5"/>
      <c r="F48" s="5"/>
    </row>
    <row r="49" spans="1:7" s="6" customFormat="1" ht="16.5" customHeight="1">
      <c r="A49" s="3"/>
      <c r="B49" s="4" t="s">
        <v>28</v>
      </c>
      <c r="C49" s="289">
        <f>C37+C38</f>
        <v>3606.6469999999999</v>
      </c>
      <c r="D49" s="289">
        <f>D37+D38</f>
        <v>653.35318999999993</v>
      </c>
      <c r="E49" s="5">
        <f t="shared" si="0"/>
        <v>18.115251922353366</v>
      </c>
      <c r="F49" s="5">
        <f t="shared" si="1"/>
        <v>-2953.2938100000001</v>
      </c>
      <c r="G49" s="305"/>
    </row>
    <row r="50" spans="1:7" s="6" customFormat="1" ht="23.25" customHeight="1">
      <c r="A50" s="3"/>
      <c r="B50" s="21" t="s">
        <v>321</v>
      </c>
      <c r="C50" s="289">
        <f>C49-C95</f>
        <v>16.760440000000017</v>
      </c>
      <c r="D50" s="289">
        <f>D49-D95</f>
        <v>168.45315999999997</v>
      </c>
      <c r="E50" s="22"/>
      <c r="F50" s="22"/>
    </row>
    <row r="51" spans="1:7">
      <c r="A51" s="23"/>
      <c r="B51" s="24"/>
      <c r="C51" s="115"/>
      <c r="D51" s="25"/>
      <c r="E51" s="26"/>
      <c r="F51" s="27"/>
    </row>
    <row r="52" spans="1:7" ht="32.25" customHeight="1">
      <c r="A52" s="28" t="s">
        <v>1</v>
      </c>
      <c r="B52" s="28" t="s">
        <v>29</v>
      </c>
      <c r="C52" s="249" t="s">
        <v>346</v>
      </c>
      <c r="D52" s="73" t="s">
        <v>360</v>
      </c>
      <c r="E52" s="72" t="s">
        <v>3</v>
      </c>
      <c r="F52" s="74" t="s">
        <v>4</v>
      </c>
    </row>
    <row r="53" spans="1:7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7" s="6" customFormat="1" ht="17.850000000000001" customHeight="1">
      <c r="A54" s="30" t="s">
        <v>30</v>
      </c>
      <c r="B54" s="31" t="s">
        <v>31</v>
      </c>
      <c r="C54" s="32">
        <f>C55+C56+C57+C58+C59+C61+C60</f>
        <v>1117.251</v>
      </c>
      <c r="D54" s="33">
        <f>D56+D61</f>
        <v>207.82899</v>
      </c>
      <c r="E54" s="34">
        <f>SUM(D54/C54*100)</f>
        <v>18.601817317684212</v>
      </c>
      <c r="F54" s="34">
        <f>SUM(D54-C54)</f>
        <v>-909.42201</v>
      </c>
    </row>
    <row r="55" spans="1:7" s="6" customFormat="1" ht="17.25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7" ht="16.5" customHeight="1">
      <c r="A56" s="35" t="s">
        <v>34</v>
      </c>
      <c r="B56" s="39" t="s">
        <v>35</v>
      </c>
      <c r="C56" s="37">
        <v>1109.5419999999999</v>
      </c>
      <c r="D56" s="37">
        <v>207.82899</v>
      </c>
      <c r="E56" s="38">
        <f>SUM(D56/C56*100)</f>
        <v>18.731061104491765</v>
      </c>
      <c r="F56" s="38">
        <f t="shared" ref="F56:F95" si="3">SUM(D56-C56)</f>
        <v>-901.71300999999994</v>
      </c>
    </row>
    <row r="57" spans="1:7" ht="17.25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7" ht="17.25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7" ht="16.5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7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7" ht="17.25" customHeight="1">
      <c r="A61" s="35" t="s">
        <v>44</v>
      </c>
      <c r="B61" s="39" t="s">
        <v>45</v>
      </c>
      <c r="C61" s="37">
        <v>2.7090000000000001</v>
      </c>
      <c r="D61" s="37">
        <v>0</v>
      </c>
      <c r="E61" s="38">
        <f t="shared" si="4"/>
        <v>0</v>
      </c>
      <c r="F61" s="38">
        <f t="shared" si="3"/>
        <v>-2.7090000000000001</v>
      </c>
    </row>
    <row r="62" spans="1:7" s="6" customFormat="1" ht="17.850000000000001" customHeight="1">
      <c r="A62" s="41" t="s">
        <v>46</v>
      </c>
      <c r="B62" s="42" t="s">
        <v>47</v>
      </c>
      <c r="C62" s="32">
        <f>C63</f>
        <v>70.594999999999999</v>
      </c>
      <c r="D62" s="32">
        <f>D63</f>
        <v>11.19267</v>
      </c>
      <c r="E62" s="34">
        <f t="shared" si="4"/>
        <v>15.854763085204334</v>
      </c>
      <c r="F62" s="34">
        <f t="shared" si="3"/>
        <v>-59.402329999999999</v>
      </c>
    </row>
    <row r="63" spans="1:7" ht="17.850000000000001" customHeight="1">
      <c r="A63" s="43" t="s">
        <v>48</v>
      </c>
      <c r="B63" s="44" t="s">
        <v>49</v>
      </c>
      <c r="C63" s="37">
        <v>70.594999999999999</v>
      </c>
      <c r="D63" s="37">
        <v>11.19267</v>
      </c>
      <c r="E63" s="38">
        <f t="shared" si="4"/>
        <v>15.854763085204334</v>
      </c>
      <c r="F63" s="38">
        <f t="shared" si="3"/>
        <v>-59.402329999999999</v>
      </c>
    </row>
    <row r="64" spans="1:7" s="6" customFormat="1" ht="18" customHeight="1">
      <c r="A64" s="30" t="s">
        <v>50</v>
      </c>
      <c r="B64" s="31" t="s">
        <v>51</v>
      </c>
      <c r="C64" s="32">
        <f>C67+C68</f>
        <v>4</v>
      </c>
      <c r="D64" s="32">
        <f>SUM(D65:D67)</f>
        <v>0</v>
      </c>
      <c r="E64" s="34">
        <f t="shared" si="4"/>
        <v>0</v>
      </c>
      <c r="F64" s="34">
        <f t="shared" si="3"/>
        <v>-4</v>
      </c>
    </row>
    <row r="65" spans="1:7" ht="17.25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0</v>
      </c>
      <c r="E67" s="34">
        <f t="shared" si="4"/>
        <v>0</v>
      </c>
      <c r="F67" s="34">
        <f t="shared" si="3"/>
        <v>-2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932.53855999999996</v>
      </c>
      <c r="D69" s="48">
        <f>D70+D71+D72+D73</f>
        <v>79.27</v>
      </c>
      <c r="E69" s="34">
        <f t="shared" si="4"/>
        <v>8.5004527855663152</v>
      </c>
      <c r="F69" s="34">
        <f t="shared" si="3"/>
        <v>-853.26855999999998</v>
      </c>
    </row>
    <row r="70" spans="1:7" ht="18" customHeight="1">
      <c r="A70" s="35" t="s">
        <v>60</v>
      </c>
      <c r="B70" s="39" t="s">
        <v>61</v>
      </c>
      <c r="C70" s="49">
        <f>2.4+6.35</f>
        <v>8.75</v>
      </c>
      <c r="D70" s="37">
        <v>0</v>
      </c>
      <c r="E70" s="38">
        <f t="shared" si="4"/>
        <v>0</v>
      </c>
      <c r="F70" s="38">
        <f t="shared" si="3"/>
        <v>-8.75</v>
      </c>
    </row>
    <row r="71" spans="1:7" s="6" customFormat="1" ht="19.5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903.78855999999996</v>
      </c>
      <c r="D72" s="37">
        <v>79.27</v>
      </c>
      <c r="E72" s="38">
        <f t="shared" si="4"/>
        <v>8.7708567587976543</v>
      </c>
      <c r="F72" s="38">
        <f t="shared" si="3"/>
        <v>-824.51855999999998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0</v>
      </c>
      <c r="E73" s="38">
        <f t="shared" si="4"/>
        <v>0</v>
      </c>
      <c r="F73" s="38">
        <f t="shared" si="3"/>
        <v>-20</v>
      </c>
    </row>
    <row r="74" spans="1:7" s="6" customFormat="1" ht="17.25" customHeight="1">
      <c r="A74" s="30" t="s">
        <v>68</v>
      </c>
      <c r="B74" s="31" t="s">
        <v>69</v>
      </c>
      <c r="C74" s="32">
        <f>SUM(C75:C77)</f>
        <v>184.80199999999999</v>
      </c>
      <c r="D74" s="32">
        <f>D77</f>
        <v>14.608370000000001</v>
      </c>
      <c r="E74" s="34">
        <f t="shared" si="4"/>
        <v>7.9048765705998862</v>
      </c>
      <c r="F74" s="34">
        <f t="shared" si="3"/>
        <v>-170.19362999999998</v>
      </c>
    </row>
    <row r="75" spans="1:7" ht="15.75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f>126.571+53.231+5</f>
        <v>184.80199999999999</v>
      </c>
      <c r="D77" s="37">
        <v>14.608370000000001</v>
      </c>
      <c r="E77" s="38">
        <f t="shared" si="4"/>
        <v>7.9048765705998862</v>
      </c>
      <c r="F77" s="38">
        <f t="shared" si="3"/>
        <v>-170.19362999999998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1277.7</v>
      </c>
      <c r="D78" s="32">
        <f>D79</f>
        <v>172</v>
      </c>
      <c r="E78" s="34">
        <f t="shared" si="4"/>
        <v>13.461688972372233</v>
      </c>
      <c r="F78" s="34">
        <f t="shared" si="3"/>
        <v>-1105.7</v>
      </c>
    </row>
    <row r="79" spans="1:7" ht="16.5" customHeight="1">
      <c r="A79" s="35" t="s">
        <v>88</v>
      </c>
      <c r="B79" s="39" t="s">
        <v>234</v>
      </c>
      <c r="C79" s="37">
        <v>1277.7</v>
      </c>
      <c r="D79" s="37">
        <v>172</v>
      </c>
      <c r="E79" s="38">
        <f t="shared" si="4"/>
        <v>13.461688972372233</v>
      </c>
      <c r="F79" s="38">
        <f t="shared" si="3"/>
        <v>-1105.7</v>
      </c>
    </row>
    <row r="80" spans="1:7" s="6" customFormat="1" ht="1.5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17.25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0</v>
      </c>
      <c r="E85" s="38">
        <f t="shared" si="4"/>
        <v>0</v>
      </c>
      <c r="F85" s="22">
        <f>F86+F87+F88+F89+F90</f>
        <v>-3</v>
      </c>
    </row>
    <row r="86" spans="1:6" ht="19.5" customHeight="1">
      <c r="A86" s="35" t="s">
        <v>97</v>
      </c>
      <c r="B86" s="39" t="s">
        <v>98</v>
      </c>
      <c r="C86" s="37">
        <v>3</v>
      </c>
      <c r="D86" s="37">
        <v>0</v>
      </c>
      <c r="E86" s="38">
        <f t="shared" si="4"/>
        <v>0</v>
      </c>
      <c r="F86" s="38">
        <f>SUM(D86-C86)</f>
        <v>-3</v>
      </c>
    </row>
    <row r="87" spans="1:6" ht="15.75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57.75" customHeight="1">
      <c r="A93" s="53">
        <v>1402</v>
      </c>
      <c r="B93" s="54" t="s">
        <v>117</v>
      </c>
      <c r="C93" s="240"/>
      <c r="D93" s="241"/>
      <c r="E93" s="38" t="e">
        <f t="shared" si="4"/>
        <v>#DIV/0!</v>
      </c>
      <c r="F93" s="38">
        <f t="shared" si="3"/>
        <v>0</v>
      </c>
    </row>
    <row r="94" spans="1:6" ht="15.75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33">
        <f>C54+C62+C64+C69+C74+C78+C80+C85+C91</f>
        <v>3589.8865599999999</v>
      </c>
      <c r="D95" s="33">
        <f>D54+D62+D64+D69+D74+D78+D85</f>
        <v>484.90002999999996</v>
      </c>
      <c r="E95" s="34">
        <f t="shared" si="4"/>
        <v>13.507391442474995</v>
      </c>
      <c r="F95" s="34">
        <f t="shared" si="3"/>
        <v>-3104.9865300000001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  <row r="141" hidden="1"/>
  </sheetData>
  <customSheetViews>
    <customSheetView guid="{A54C432C-6C68-4B53-A75C-446EB3A61B2B}" scale="70" showPageBreaks="1" hiddenRows="1" view="pageBreakPreview" topLeftCell="A39">
      <selection activeCell="C141" sqref="C141:D141"/>
      <pageMargins left="0.7" right="0.7" top="0.75" bottom="0.75" header="0.3" footer="0.3"/>
      <pageSetup paperSize="9" scale="58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60" orientation="portrait" r:id="rId2"/>
    </customSheetView>
    <customSheetView guid="{42584DC0-1D41-4C93-9B38-C388E7B8DAC4}" scale="70" showPageBreaks="1" hiddenRows="1" view="pageBreakPreview">
      <selection activeCell="C141" sqref="C141:D141"/>
      <pageMargins left="0.7" right="0.7" top="0.75" bottom="0.75" header="0.3" footer="0.3"/>
      <pageSetup paperSize="9" scale="60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0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375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989.12</v>
      </c>
      <c r="D4" s="5">
        <f>D5+D12+D14+D17+D20+D7</f>
        <v>157.88296000000003</v>
      </c>
      <c r="E4" s="5">
        <f>SUM(D4/C4*100)</f>
        <v>15.961962148172116</v>
      </c>
      <c r="F4" s="5">
        <f>SUM(D4-C4)</f>
        <v>-831.23703999999998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16.186869999999999</v>
      </c>
      <c r="E5" s="5">
        <f t="shared" ref="E5:E51" si="0">SUM(D5/C5*100)</f>
        <v>16.985173137460649</v>
      </c>
      <c r="F5" s="5">
        <f t="shared" ref="F5:F51" si="1">SUM(D5-C5)</f>
        <v>-79.113129999999998</v>
      </c>
    </row>
    <row r="6" spans="1:6">
      <c r="A6" s="7">
        <v>1010200001</v>
      </c>
      <c r="B6" s="8" t="s">
        <v>229</v>
      </c>
      <c r="C6" s="9">
        <v>95.3</v>
      </c>
      <c r="D6" s="10">
        <v>16.186869999999999</v>
      </c>
      <c r="E6" s="9">
        <f t="shared" ref="E6:E11" si="2">SUM(D6/C6*100)</f>
        <v>16.985173137460649</v>
      </c>
      <c r="F6" s="9">
        <f t="shared" si="1"/>
        <v>-79.113129999999998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73.25491000000001</v>
      </c>
      <c r="E7" s="9">
        <f t="shared" si="2"/>
        <v>23.342970492639097</v>
      </c>
      <c r="F7" s="9">
        <f t="shared" si="1"/>
        <v>-240.56509</v>
      </c>
    </row>
    <row r="8" spans="1:6">
      <c r="A8" s="7">
        <v>1030223001</v>
      </c>
      <c r="B8" s="8" t="s">
        <v>283</v>
      </c>
      <c r="C8" s="9">
        <v>117.05</v>
      </c>
      <c r="D8" s="10">
        <v>30.179819999999999</v>
      </c>
      <c r="E8" s="9">
        <f t="shared" si="2"/>
        <v>25.783699273814609</v>
      </c>
      <c r="F8" s="9">
        <f t="shared" si="1"/>
        <v>-86.870180000000005</v>
      </c>
    </row>
    <row r="9" spans="1:6">
      <c r="A9" s="7">
        <v>1030224001</v>
      </c>
      <c r="B9" s="8" t="s">
        <v>289</v>
      </c>
      <c r="C9" s="9">
        <v>1.26</v>
      </c>
      <c r="D9" s="10">
        <v>0.20346</v>
      </c>
      <c r="E9" s="9">
        <f t="shared" si="2"/>
        <v>16.147619047619045</v>
      </c>
      <c r="F9" s="9">
        <f t="shared" si="1"/>
        <v>-1.05654</v>
      </c>
    </row>
    <row r="10" spans="1:6">
      <c r="A10" s="7">
        <v>1030225001</v>
      </c>
      <c r="B10" s="8" t="s">
        <v>282</v>
      </c>
      <c r="C10" s="9">
        <v>195.51</v>
      </c>
      <c r="D10" s="10">
        <v>49.160310000000003</v>
      </c>
      <c r="E10" s="9">
        <f t="shared" si="2"/>
        <v>25.144652447445146</v>
      </c>
      <c r="F10" s="9">
        <f t="shared" si="1"/>
        <v>-146.34968999999998</v>
      </c>
    </row>
    <row r="11" spans="1:6">
      <c r="A11" s="7">
        <v>1030226001</v>
      </c>
      <c r="B11" s="8" t="s">
        <v>291</v>
      </c>
      <c r="C11" s="9">
        <v>0</v>
      </c>
      <c r="D11" s="10">
        <v>-6.2886800000000003</v>
      </c>
      <c r="E11" s="9" t="e">
        <f t="shared" si="2"/>
        <v>#DIV/0!</v>
      </c>
      <c r="F11" s="9">
        <f t="shared" si="1"/>
        <v>-6.2886800000000003</v>
      </c>
    </row>
    <row r="12" spans="1:6" s="6" customFormat="1">
      <c r="A12" s="68">
        <v>1050000000</v>
      </c>
      <c r="B12" s="67" t="s">
        <v>7</v>
      </c>
      <c r="C12" s="5">
        <f>SUM(C13:C13)</f>
        <v>35</v>
      </c>
      <c r="D12" s="5">
        <f>SUM(D13:D13)</f>
        <v>9.4053000000000004</v>
      </c>
      <c r="E12" s="5">
        <f t="shared" si="0"/>
        <v>26.872285714285717</v>
      </c>
      <c r="F12" s="5">
        <f t="shared" si="1"/>
        <v>-25.5947</v>
      </c>
    </row>
    <row r="13" spans="1:6" ht="15.75" customHeight="1">
      <c r="A13" s="7">
        <v>1050300000</v>
      </c>
      <c r="B13" s="11" t="s">
        <v>230</v>
      </c>
      <c r="C13" s="12">
        <v>35</v>
      </c>
      <c r="D13" s="10">
        <v>9.4053000000000004</v>
      </c>
      <c r="E13" s="9">
        <f t="shared" si="0"/>
        <v>26.872285714285717</v>
      </c>
      <c r="F13" s="9">
        <f t="shared" si="1"/>
        <v>-25.5947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54.735880000000002</v>
      </c>
      <c r="E14" s="9">
        <f t="shared" si="0"/>
        <v>10.231005607476636</v>
      </c>
      <c r="F14" s="9">
        <f t="shared" si="1"/>
        <v>-480.26411999999999</v>
      </c>
    </row>
    <row r="15" spans="1:6" s="6" customFormat="1" ht="15.75" customHeight="1">
      <c r="A15" s="7">
        <v>1060100000</v>
      </c>
      <c r="B15" s="11" t="s">
        <v>9</v>
      </c>
      <c r="C15" s="287">
        <v>75</v>
      </c>
      <c r="D15" s="10">
        <v>2.0588500000000001</v>
      </c>
      <c r="E15" s="9">
        <f>SUM(D15/C15*100)</f>
        <v>2.7451333333333334</v>
      </c>
      <c r="F15" s="9">
        <f>SUM(D15-C14)</f>
        <v>-532.94114999999999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52.677030000000002</v>
      </c>
      <c r="E16" s="9">
        <f t="shared" si="0"/>
        <v>11.451528260869566</v>
      </c>
      <c r="F16" s="9">
        <f t="shared" si="1"/>
        <v>-407.32297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4.3</v>
      </c>
      <c r="E17" s="5">
        <f t="shared" si="0"/>
        <v>43</v>
      </c>
      <c r="F17" s="5">
        <f t="shared" si="1"/>
        <v>-5.7</v>
      </c>
    </row>
    <row r="18" spans="1:6" ht="15.75" customHeight="1">
      <c r="A18" s="7">
        <v>1080400001</v>
      </c>
      <c r="B18" s="8" t="s">
        <v>228</v>
      </c>
      <c r="C18" s="9">
        <v>10</v>
      </c>
      <c r="D18" s="10">
        <v>4.3</v>
      </c>
      <c r="E18" s="9">
        <f t="shared" si="0"/>
        <v>43</v>
      </c>
      <c r="F18" s="9">
        <f t="shared" si="1"/>
        <v>-5.7</v>
      </c>
    </row>
    <row r="19" spans="1:6" ht="15.7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82</v>
      </c>
      <c r="D25" s="5">
        <f>D26+D29+D31+D37-D34</f>
        <v>6.8651100000000005</v>
      </c>
      <c r="E25" s="5">
        <f t="shared" si="0"/>
        <v>8.3720853658536605</v>
      </c>
      <c r="F25" s="5">
        <f t="shared" si="1"/>
        <v>-75.134889999999999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0</v>
      </c>
      <c r="E26" s="5">
        <f t="shared" si="0"/>
        <v>0</v>
      </c>
      <c r="F26" s="5">
        <f t="shared" si="1"/>
        <v>-82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0</v>
      </c>
      <c r="E27" s="9">
        <f t="shared" si="0"/>
        <v>0</v>
      </c>
      <c r="F27" s="9">
        <f t="shared" si="1"/>
        <v>-80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5">
        <f>D30</f>
        <v>6.8662700000000001</v>
      </c>
      <c r="E29" s="5" t="e">
        <f t="shared" si="0"/>
        <v>#DIV/0!</v>
      </c>
      <c r="F29" s="5">
        <f t="shared" si="1"/>
        <v>6.8662700000000001</v>
      </c>
    </row>
    <row r="30" spans="1:6" ht="18" customHeight="1">
      <c r="A30" s="7">
        <v>1130206005</v>
      </c>
      <c r="B30" s="8" t="s">
        <v>224</v>
      </c>
      <c r="C30" s="9">
        <v>0</v>
      </c>
      <c r="D30" s="10">
        <v>6.8662700000000001</v>
      </c>
      <c r="E30" s="9" t="e">
        <f t="shared" si="0"/>
        <v>#DIV/0!</v>
      </c>
      <c r="F30" s="9">
        <f t="shared" si="1"/>
        <v>6.8662700000000001</v>
      </c>
    </row>
    <row r="31" spans="1:6" ht="22.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 ht="24.75" customHeight="1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 ht="15" customHeight="1">
      <c r="A38" s="7">
        <v>1170105005</v>
      </c>
      <c r="B38" s="8" t="s">
        <v>18</v>
      </c>
      <c r="C38" s="9">
        <v>0</v>
      </c>
      <c r="D38" s="9">
        <v>-1.16E-3</v>
      </c>
      <c r="E38" s="9" t="e">
        <f t="shared" si="0"/>
        <v>#DIV/0!</v>
      </c>
      <c r="F38" s="9">
        <f t="shared" si="1"/>
        <v>-1.16E-3</v>
      </c>
    </row>
    <row r="39" spans="1:7" ht="17.2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1071.1199999999999</v>
      </c>
      <c r="D40" s="127">
        <f>D4+D25</f>
        <v>164.74807000000001</v>
      </c>
      <c r="E40" s="5">
        <f t="shared" si="0"/>
        <v>15.380916237209652</v>
      </c>
      <c r="F40" s="5">
        <f t="shared" si="1"/>
        <v>-906.37192999999991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2343.6639999999998</v>
      </c>
      <c r="D41" s="5">
        <f>D42+D44+D45+D46+D47+D48+D43+D50</f>
        <v>683.279</v>
      </c>
      <c r="E41" s="5">
        <f t="shared" si="0"/>
        <v>29.154307102041933</v>
      </c>
      <c r="F41" s="5">
        <f t="shared" si="1"/>
        <v>-1660.3849999999998</v>
      </c>
      <c r="G41" s="19"/>
    </row>
    <row r="42" spans="1:7" ht="16.5" customHeight="1">
      <c r="A42" s="16">
        <v>2021000000</v>
      </c>
      <c r="B42" s="17" t="s">
        <v>21</v>
      </c>
      <c r="C42" s="12">
        <v>1904.029</v>
      </c>
      <c r="D42" s="20">
        <v>632.49599999999998</v>
      </c>
      <c r="E42" s="9">
        <f t="shared" si="0"/>
        <v>33.218821772147379</v>
      </c>
      <c r="F42" s="9">
        <f t="shared" si="1"/>
        <v>-1271.5329999999999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333.54</v>
      </c>
      <c r="D44" s="10">
        <v>0</v>
      </c>
      <c r="E44" s="9">
        <f t="shared" si="0"/>
        <v>0</v>
      </c>
      <c r="F44" s="9">
        <f t="shared" si="1"/>
        <v>-333.54</v>
      </c>
    </row>
    <row r="45" spans="1:7">
      <c r="A45" s="16">
        <v>2023000000</v>
      </c>
      <c r="B45" s="17" t="s">
        <v>23</v>
      </c>
      <c r="C45" s="12">
        <v>72.995000000000005</v>
      </c>
      <c r="D45" s="252">
        <v>17.722999999999999</v>
      </c>
      <c r="E45" s="9">
        <f t="shared" si="0"/>
        <v>24.279745188026574</v>
      </c>
      <c r="F45" s="9">
        <f t="shared" si="1"/>
        <v>-55.272000000000006</v>
      </c>
    </row>
    <row r="46" spans="1:7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3.25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3.25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customHeight="1">
      <c r="A49" s="3">
        <v>3000000000</v>
      </c>
      <c r="B49" s="13" t="s">
        <v>27</v>
      </c>
      <c r="C49" s="2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93">
        <f>C40+C41</f>
        <v>3414.7839999999997</v>
      </c>
      <c r="D51" s="379">
        <f>D40+D41</f>
        <v>848.02706999999998</v>
      </c>
      <c r="E51" s="93">
        <f t="shared" si="0"/>
        <v>24.833988621242224</v>
      </c>
      <c r="F51" s="93">
        <f t="shared" si="1"/>
        <v>-2566.7569299999996</v>
      </c>
      <c r="G51" s="305"/>
    </row>
    <row r="52" spans="1:7" s="6" customFormat="1">
      <c r="A52" s="3"/>
      <c r="B52" s="21" t="s">
        <v>321</v>
      </c>
      <c r="C52" s="93">
        <f>C51-C97</f>
        <v>-73.666530000000421</v>
      </c>
      <c r="D52" s="93">
        <f>D51-D97</f>
        <v>175.84779000000003</v>
      </c>
      <c r="E52" s="22"/>
      <c r="F52" s="22"/>
    </row>
    <row r="53" spans="1:7">
      <c r="A53" s="23"/>
      <c r="B53" s="24"/>
      <c r="C53" s="251"/>
      <c r="D53" s="251"/>
      <c r="E53" s="26"/>
      <c r="F53" s="27"/>
    </row>
    <row r="54" spans="1:7" ht="46.5" customHeight="1">
      <c r="A54" s="28" t="s">
        <v>1</v>
      </c>
      <c r="B54" s="28" t="s">
        <v>29</v>
      </c>
      <c r="C54" s="244" t="s">
        <v>346</v>
      </c>
      <c r="D54" s="245" t="s">
        <v>360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32.25" customHeight="1">
      <c r="A56" s="30" t="s">
        <v>30</v>
      </c>
      <c r="B56" s="31" t="s">
        <v>31</v>
      </c>
      <c r="C56" s="247">
        <f>C57+C58+C59+C60+C61+C63+C62</f>
        <v>1288.7320000000002</v>
      </c>
      <c r="D56" s="33">
        <f>D57+D58+D59+D60+D61+D63+D62</f>
        <v>241.80824999999999</v>
      </c>
      <c r="E56" s="34">
        <f>SUM(D56/C56*100)</f>
        <v>18.763268856519428</v>
      </c>
      <c r="F56" s="34">
        <f>SUM(D56-C56)</f>
        <v>-1046.9237500000002</v>
      </c>
    </row>
    <row r="57" spans="1:7" s="6" customFormat="1" ht="31.5">
      <c r="A57" s="35" t="s">
        <v>32</v>
      </c>
      <c r="B57" s="36" t="s">
        <v>33</v>
      </c>
      <c r="C57" s="37"/>
      <c r="D57" s="136"/>
      <c r="E57" s="38"/>
      <c r="F57" s="38"/>
    </row>
    <row r="58" spans="1:7" ht="18" customHeight="1">
      <c r="A58" s="35" t="s">
        <v>34</v>
      </c>
      <c r="B58" s="39" t="s">
        <v>35</v>
      </c>
      <c r="C58" s="37">
        <v>1271.9290000000001</v>
      </c>
      <c r="D58" s="37">
        <v>233.80824999999999</v>
      </c>
      <c r="E58" s="38">
        <f t="shared" ref="E58:E97" si="3">SUM(D58/C58*100)</f>
        <v>18.38217777879111</v>
      </c>
      <c r="F58" s="38">
        <f t="shared" ref="F58:F97" si="4">SUM(D58-C58)</f>
        <v>-1038.12075</v>
      </c>
    </row>
    <row r="59" spans="1:7" ht="16.5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11.803000000000001</v>
      </c>
      <c r="D63" s="37">
        <v>8</v>
      </c>
      <c r="E63" s="38">
        <f t="shared" si="3"/>
        <v>67.779378124205707</v>
      </c>
      <c r="F63" s="38">
        <f t="shared" si="4"/>
        <v>-3.8030000000000008</v>
      </c>
    </row>
    <row r="64" spans="1:7" s="6" customFormat="1">
      <c r="A64" s="41" t="s">
        <v>46</v>
      </c>
      <c r="B64" s="42" t="s">
        <v>47</v>
      </c>
      <c r="C64" s="32">
        <f>C65</f>
        <v>70.594999999999999</v>
      </c>
      <c r="D64" s="32">
        <f>D65</f>
        <v>13.42107</v>
      </c>
      <c r="E64" s="34">
        <f t="shared" si="3"/>
        <v>19.011360577944615</v>
      </c>
      <c r="F64" s="34">
        <f t="shared" si="4"/>
        <v>-57.173929999999999</v>
      </c>
    </row>
    <row r="65" spans="1:7">
      <c r="A65" s="43" t="s">
        <v>48</v>
      </c>
      <c r="B65" s="44" t="s">
        <v>49</v>
      </c>
      <c r="C65" s="37">
        <v>70.594999999999999</v>
      </c>
      <c r="D65" s="37">
        <v>13.42107</v>
      </c>
      <c r="E65" s="38">
        <f t="shared" si="3"/>
        <v>19.011360577944615</v>
      </c>
      <c r="F65" s="38">
        <f t="shared" si="4"/>
        <v>-57.173929999999999</v>
      </c>
    </row>
    <row r="66" spans="1:7" s="6" customFormat="1" ht="19.5" customHeight="1">
      <c r="A66" s="30" t="s">
        <v>50</v>
      </c>
      <c r="B66" s="31" t="s">
        <v>51</v>
      </c>
      <c r="C66" s="32">
        <f>C69+C70</f>
        <v>9.25</v>
      </c>
      <c r="D66" s="32">
        <f>D69+D70</f>
        <v>0.6</v>
      </c>
      <c r="E66" s="34">
        <f t="shared" si="3"/>
        <v>6.4864864864864868</v>
      </c>
      <c r="F66" s="34">
        <f t="shared" si="4"/>
        <v>-8.65</v>
      </c>
    </row>
    <row r="67" spans="1:7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5</v>
      </c>
      <c r="D69" s="37">
        <v>0</v>
      </c>
      <c r="E69" s="38">
        <f t="shared" si="3"/>
        <v>0</v>
      </c>
      <c r="F69" s="38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0.6</v>
      </c>
      <c r="E70" s="38">
        <f t="shared" si="3"/>
        <v>14.117647058823529</v>
      </c>
      <c r="F70" s="38">
        <f t="shared" si="4"/>
        <v>-3.65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714.52353000000005</v>
      </c>
      <c r="D71" s="48">
        <f>SUM(D72:D75)</f>
        <v>150.48602</v>
      </c>
      <c r="E71" s="34">
        <f t="shared" si="3"/>
        <v>21.061030698317239</v>
      </c>
      <c r="F71" s="34">
        <f t="shared" si="4"/>
        <v>-564.03751000000011</v>
      </c>
    </row>
    <row r="72" spans="1:7" ht="15.75" customHeight="1">
      <c r="A72" s="35" t="s">
        <v>60</v>
      </c>
      <c r="B72" s="39" t="s">
        <v>61</v>
      </c>
      <c r="C72" s="49">
        <f>2.4+6.35</f>
        <v>8.75</v>
      </c>
      <c r="D72" s="37">
        <v>0</v>
      </c>
      <c r="E72" s="38">
        <f t="shared" si="3"/>
        <v>0</v>
      </c>
      <c r="F72" s="38">
        <f t="shared" si="4"/>
        <v>-8.75</v>
      </c>
    </row>
    <row r="73" spans="1:7" s="6" customFormat="1" ht="19.5" customHeight="1">
      <c r="A73" s="35" t="s">
        <v>62</v>
      </c>
      <c r="B73" s="39" t="s">
        <v>63</v>
      </c>
      <c r="C73" s="49">
        <f>39.96+35</f>
        <v>74.960000000000008</v>
      </c>
      <c r="D73" s="37">
        <v>49.074019999999997</v>
      </c>
      <c r="E73" s="38">
        <f t="shared" si="3"/>
        <v>65.466942369263592</v>
      </c>
      <c r="F73" s="38">
        <f t="shared" si="4"/>
        <v>-25.885980000000011</v>
      </c>
      <c r="G73" s="50"/>
    </row>
    <row r="74" spans="1:7">
      <c r="A74" s="35" t="s">
        <v>64</v>
      </c>
      <c r="B74" s="39" t="s">
        <v>65</v>
      </c>
      <c r="C74" s="49">
        <f>568.95153</f>
        <v>568.95153000000005</v>
      </c>
      <c r="D74" s="37">
        <v>101.41200000000001</v>
      </c>
      <c r="E74" s="38">
        <f t="shared" si="3"/>
        <v>17.824365460446163</v>
      </c>
      <c r="F74" s="38">
        <f t="shared" si="4"/>
        <v>-467.53953000000001</v>
      </c>
    </row>
    <row r="75" spans="1:7" ht="16.5" customHeight="1">
      <c r="A75" s="35" t="s">
        <v>66</v>
      </c>
      <c r="B75" s="39" t="s">
        <v>67</v>
      </c>
      <c r="C75" s="49">
        <f>31.862+30</f>
        <v>61.861999999999995</v>
      </c>
      <c r="D75" s="37">
        <v>0</v>
      </c>
      <c r="E75" s="38">
        <f t="shared" si="3"/>
        <v>0</v>
      </c>
      <c r="F75" s="38">
        <f t="shared" si="4"/>
        <v>-61.861999999999995</v>
      </c>
    </row>
    <row r="76" spans="1:7" s="6" customFormat="1">
      <c r="A76" s="30" t="s">
        <v>68</v>
      </c>
      <c r="B76" s="31" t="s">
        <v>69</v>
      </c>
      <c r="C76" s="32">
        <f>SUM(C77:C79)</f>
        <v>530.54999999999995</v>
      </c>
      <c r="D76" s="32">
        <f>SUM(D77:D79)</f>
        <v>46.946939999999998</v>
      </c>
      <c r="E76" s="34">
        <f t="shared" si="3"/>
        <v>8.8487305626236932</v>
      </c>
      <c r="F76" s="34">
        <f t="shared" si="4"/>
        <v>-483.60305999999997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530.54999999999995</v>
      </c>
      <c r="D79" s="37">
        <v>46.946939999999998</v>
      </c>
      <c r="E79" s="38">
        <f t="shared" si="3"/>
        <v>8.8487305626236932</v>
      </c>
      <c r="F79" s="38">
        <f t="shared" si="4"/>
        <v>-483.60305999999997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218.202</v>
      </c>
      <c r="E80" s="34">
        <f t="shared" si="3"/>
        <v>25.000229147571034</v>
      </c>
      <c r="F80" s="34">
        <f t="shared" si="4"/>
        <v>-654.59799999999996</v>
      </c>
    </row>
    <row r="81" spans="1:6" ht="18" customHeight="1">
      <c r="A81" s="35" t="s">
        <v>88</v>
      </c>
      <c r="B81" s="39" t="s">
        <v>234</v>
      </c>
      <c r="C81" s="37">
        <v>872.8</v>
      </c>
      <c r="D81" s="37">
        <v>218.202</v>
      </c>
      <c r="E81" s="38">
        <f t="shared" si="3"/>
        <v>25.000229147571034</v>
      </c>
      <c r="F81" s="38">
        <f t="shared" si="4"/>
        <v>-654.59799999999996</v>
      </c>
    </row>
    <row r="82" spans="1:6" s="6" customFormat="1" ht="21.75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0.71499999999999997</v>
      </c>
      <c r="E87" s="38">
        <f t="shared" si="3"/>
        <v>35.75</v>
      </c>
      <c r="F87" s="22">
        <f>F88+F89+F90+F91+F92</f>
        <v>-1.2850000000000001</v>
      </c>
    </row>
    <row r="88" spans="1:6" ht="15" customHeight="1">
      <c r="A88" s="35" t="s">
        <v>97</v>
      </c>
      <c r="B88" s="39" t="s">
        <v>98</v>
      </c>
      <c r="C88" s="37">
        <v>2</v>
      </c>
      <c r="D88" s="37">
        <v>0.71499999999999997</v>
      </c>
      <c r="E88" s="38">
        <f t="shared" si="3"/>
        <v>35.75</v>
      </c>
      <c r="F88" s="38">
        <f>SUM(D88-C88)</f>
        <v>-1.2850000000000001</v>
      </c>
    </row>
    <row r="89" spans="1:6" ht="15.75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6" s="6" customFormat="1" ht="15.75" customHeight="1">
      <c r="A97" s="52"/>
      <c r="B97" s="57" t="s">
        <v>119</v>
      </c>
      <c r="C97" s="33">
        <f>C56+C64+C66+C71+C76+C80+C82+C87+C93</f>
        <v>3488.4505300000001</v>
      </c>
      <c r="D97" s="33">
        <f>D56+D64+D66+D71+D76+D80+D82+D87+D93</f>
        <v>672.17927999999995</v>
      </c>
      <c r="E97" s="34">
        <f t="shared" si="3"/>
        <v>19.268706098005062</v>
      </c>
      <c r="F97" s="34">
        <f t="shared" si="4"/>
        <v>-2816.2712500000002</v>
      </c>
    </row>
    <row r="98" spans="1:6">
      <c r="C98" s="126"/>
      <c r="D98" s="101"/>
    </row>
    <row r="99" spans="1:6" s="65" customFormat="1" ht="16.5" customHeight="1">
      <c r="A99" s="63" t="s">
        <v>120</v>
      </c>
      <c r="B99" s="63"/>
      <c r="C99" s="250"/>
      <c r="D99" s="250"/>
    </row>
    <row r="100" spans="1:6" s="65" customFormat="1" ht="20.25" customHeight="1">
      <c r="A100" s="66" t="s">
        <v>121</v>
      </c>
      <c r="B100" s="66"/>
      <c r="C100" s="65" t="s">
        <v>122</v>
      </c>
    </row>
    <row r="101" spans="1:6" ht="13.5" customHeight="1">
      <c r="C101" s="120"/>
    </row>
    <row r="103" spans="1:6" ht="5.25" customHeight="1"/>
    <row r="141" hidden="1"/>
  </sheetData>
  <customSheetViews>
    <customSheetView guid="{A54C432C-6C68-4B53-A75C-446EB3A61B2B}" scale="70" showPageBreaks="1" hiddenRows="1" view="pageBreakPreview" topLeftCell="A53">
      <selection activeCell="C141" sqref="C141:D141"/>
      <pageMargins left="0.7" right="0.7" top="0.75" bottom="0.75" header="0.3" footer="0.3"/>
      <pageSetup paperSize="9" scale="52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2" orientation="portrait" r:id="rId2"/>
    </customSheetView>
    <customSheetView guid="{42584DC0-1D41-4C93-9B38-C388E7B8DAC4}" scale="70" showPageBreaks="1" hiddenRows="1" view="pageBreakPreview">
      <selection activeCell="C141" sqref="C141:D141"/>
      <pageMargins left="0.7" right="0.7" top="0.75" bottom="0.75" header="0.3" footer="0.3"/>
      <pageSetup paperSize="9" scale="52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8" t="s">
        <v>374</v>
      </c>
      <c r="B1" s="438"/>
      <c r="C1" s="438"/>
      <c r="D1" s="438"/>
      <c r="E1" s="438"/>
      <c r="F1" s="438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97.431719999999999</v>
      </c>
      <c r="E4" s="5">
        <f>SUM(D4/C4*100)</f>
        <v>13.387891612619546</v>
      </c>
      <c r="F4" s="5">
        <f>SUM(D4-C4)</f>
        <v>-630.32827999999995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7.5633100000000004</v>
      </c>
      <c r="E5" s="5">
        <f t="shared" ref="E5:E51" si="0">SUM(D5/C5*100)</f>
        <v>22.644640718562879</v>
      </c>
      <c r="F5" s="5">
        <f t="shared" ref="F5:F51" si="1">SUM(D5-C5)</f>
        <v>-25.836689999999997</v>
      </c>
    </row>
    <row r="6" spans="1:6">
      <c r="A6" s="7">
        <v>1010200001</v>
      </c>
      <c r="B6" s="8" t="s">
        <v>229</v>
      </c>
      <c r="C6" s="9">
        <v>33.4</v>
      </c>
      <c r="D6" s="10">
        <v>7.5633100000000004</v>
      </c>
      <c r="E6" s="9">
        <f t="shared" ref="E6:E11" si="2">SUM(D6/C6*100)</f>
        <v>22.644640718562879</v>
      </c>
      <c r="F6" s="9">
        <f t="shared" si="1"/>
        <v>-25.836689999999997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75.248149999999995</v>
      </c>
      <c r="E7" s="5">
        <f t="shared" si="2"/>
        <v>23.342893038838564</v>
      </c>
      <c r="F7" s="5">
        <f t="shared" si="1"/>
        <v>-247.11185</v>
      </c>
    </row>
    <row r="8" spans="1:6">
      <c r="A8" s="7">
        <v>1030223001</v>
      </c>
      <c r="B8" s="8" t="s">
        <v>283</v>
      </c>
      <c r="C8" s="9">
        <v>120.24</v>
      </c>
      <c r="D8" s="10">
        <v>31.001049999999999</v>
      </c>
      <c r="E8" s="9">
        <f t="shared" si="2"/>
        <v>25.782643047238857</v>
      </c>
      <c r="F8" s="9">
        <f t="shared" si="1"/>
        <v>-89.238949999999988</v>
      </c>
    </row>
    <row r="9" spans="1:6">
      <c r="A9" s="7">
        <v>1030224001</v>
      </c>
      <c r="B9" s="8" t="s">
        <v>289</v>
      </c>
      <c r="C9" s="9">
        <v>1.29</v>
      </c>
      <c r="D9" s="10">
        <v>0.20896000000000001</v>
      </c>
      <c r="E9" s="9">
        <f t="shared" si="2"/>
        <v>16.198449612403103</v>
      </c>
      <c r="F9" s="9">
        <f t="shared" si="1"/>
        <v>-1.08104</v>
      </c>
    </row>
    <row r="10" spans="1:6">
      <c r="A10" s="7">
        <v>1030225001</v>
      </c>
      <c r="B10" s="8" t="s">
        <v>282</v>
      </c>
      <c r="C10" s="9">
        <v>200.83</v>
      </c>
      <c r="D10" s="10">
        <v>50.497999999999998</v>
      </c>
      <c r="E10" s="9">
        <f t="shared" si="2"/>
        <v>25.14464970372952</v>
      </c>
      <c r="F10" s="9">
        <f t="shared" si="1"/>
        <v>-150.33200000000002</v>
      </c>
    </row>
    <row r="11" spans="1:6">
      <c r="A11" s="7">
        <v>1030226001</v>
      </c>
      <c r="B11" s="8" t="s">
        <v>291</v>
      </c>
      <c r="C11" s="9">
        <v>0</v>
      </c>
      <c r="D11" s="10">
        <v>-6.4598599999999999</v>
      </c>
      <c r="E11" s="9" t="e">
        <f t="shared" si="2"/>
        <v>#DIV/0!</v>
      </c>
      <c r="F11" s="9">
        <f t="shared" si="1"/>
        <v>-6.4598599999999999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1.5713999999999999</v>
      </c>
      <c r="E12" s="5">
        <f t="shared" si="0"/>
        <v>15.714</v>
      </c>
      <c r="F12" s="5">
        <f t="shared" si="1"/>
        <v>-8.4285999999999994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1.5713999999999999</v>
      </c>
      <c r="E13" s="9">
        <f t="shared" si="0"/>
        <v>15.714</v>
      </c>
      <c r="F13" s="9">
        <f t="shared" si="1"/>
        <v>-8.4285999999999994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12.748859999999999</v>
      </c>
      <c r="E14" s="5">
        <f t="shared" si="0"/>
        <v>3.5912281690140846</v>
      </c>
      <c r="F14" s="5">
        <f t="shared" si="1"/>
        <v>-342.25114000000002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0.29261999999999999</v>
      </c>
      <c r="E15" s="9">
        <f t="shared" si="0"/>
        <v>0.73155000000000003</v>
      </c>
      <c r="F15" s="9">
        <f>SUM(D15-C15)</f>
        <v>-39.707380000000001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12.456239999999999</v>
      </c>
      <c r="E16" s="9">
        <f t="shared" si="0"/>
        <v>3.9543619047619041</v>
      </c>
      <c r="F16" s="9">
        <f t="shared" si="1"/>
        <v>-302.54376000000002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0.3</v>
      </c>
      <c r="E17" s="5">
        <f t="shared" si="0"/>
        <v>4.2857142857142856</v>
      </c>
      <c r="F17" s="5">
        <f t="shared" si="1"/>
        <v>-6.7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0.3</v>
      </c>
      <c r="E18" s="9">
        <f t="shared" si="0"/>
        <v>4.2857142857142856</v>
      </c>
      <c r="F18" s="9">
        <f t="shared" si="1"/>
        <v>-6.7</v>
      </c>
    </row>
    <row r="19" spans="1:6" ht="47.2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>
      <c r="A20" s="68">
        <v>1090000000</v>
      </c>
      <c r="B20" s="69" t="s">
        <v>124</v>
      </c>
      <c r="C20" s="5">
        <f>C21+C22+C23+C24</f>
        <v>0</v>
      </c>
      <c r="D20" s="5">
        <f>D21+D22+D23+D24</f>
        <v>0.55000000000000004</v>
      </c>
      <c r="E20" s="5" t="e">
        <f t="shared" si="0"/>
        <v>#DIV/0!</v>
      </c>
      <c r="F20" s="5">
        <f t="shared" si="1"/>
        <v>0.55000000000000004</v>
      </c>
    </row>
    <row r="21" spans="1:6" s="15" customFormat="1" ht="0.75" customHeight="1">
      <c r="A21" s="7">
        <v>1090100000</v>
      </c>
      <c r="B21" s="8" t="s">
        <v>125</v>
      </c>
      <c r="C21" s="5"/>
      <c r="D21" s="14">
        <v>0.55000000000000004</v>
      </c>
      <c r="E21" s="9" t="e">
        <f t="shared" si="0"/>
        <v>#DIV/0!</v>
      </c>
      <c r="F21" s="9">
        <f t="shared" si="1"/>
        <v>0.55000000000000004</v>
      </c>
    </row>
    <row r="22" spans="1:6" s="15" customFormat="1" ht="30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C26+C29+C31+C37+C34</f>
        <v>182</v>
      </c>
      <c r="D25" s="5">
        <f>D26+D29+D31+D37+D34</f>
        <v>12.19547</v>
      </c>
      <c r="E25" s="5">
        <f t="shared" si="0"/>
        <v>6.7008076923076922</v>
      </c>
      <c r="F25" s="5">
        <f t="shared" si="1"/>
        <v>-169.80453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6.5027999999999997</v>
      </c>
      <c r="E26" s="5">
        <f t="shared" si="0"/>
        <v>4.9263636363636367</v>
      </c>
      <c r="F26" s="5">
        <f t="shared" si="1"/>
        <v>-125.49720000000001</v>
      </c>
    </row>
    <row r="27" spans="1:6">
      <c r="A27" s="16">
        <v>1110502510</v>
      </c>
      <c r="B27" s="17" t="s">
        <v>226</v>
      </c>
      <c r="C27" s="12">
        <v>115</v>
      </c>
      <c r="D27" s="10">
        <v>0</v>
      </c>
      <c r="E27" s="9">
        <f t="shared" si="0"/>
        <v>0</v>
      </c>
      <c r="F27" s="9">
        <f t="shared" si="1"/>
        <v>-115</v>
      </c>
    </row>
    <row r="28" spans="1:6" ht="21" customHeight="1">
      <c r="A28" s="7">
        <v>1110503505</v>
      </c>
      <c r="B28" s="11" t="s">
        <v>225</v>
      </c>
      <c r="C28" s="12">
        <v>17</v>
      </c>
      <c r="D28" s="10">
        <v>6.5027999999999997</v>
      </c>
      <c r="E28" s="9">
        <f t="shared" si="0"/>
        <v>38.251764705882351</v>
      </c>
      <c r="F28" s="9">
        <f t="shared" si="1"/>
        <v>-10.497199999999999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5.6929699999999999</v>
      </c>
      <c r="E29" s="5">
        <f t="shared" si="0"/>
        <v>11.38594</v>
      </c>
      <c r="F29" s="5">
        <f t="shared" si="1"/>
        <v>-44.307029999999997</v>
      </c>
    </row>
    <row r="30" spans="1:6" ht="25.5" customHeight="1">
      <c r="A30" s="7">
        <v>1130206005</v>
      </c>
      <c r="B30" s="8" t="s">
        <v>224</v>
      </c>
      <c r="C30" s="9">
        <v>50</v>
      </c>
      <c r="D30" s="10">
        <v>5.6929699999999999</v>
      </c>
      <c r="E30" s="9">
        <f t="shared" si="0"/>
        <v>11.38594</v>
      </c>
      <c r="F30" s="9">
        <f t="shared" si="1"/>
        <v>-44.307029999999997</v>
      </c>
    </row>
    <row r="31" spans="1:6" ht="15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9.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9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252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51.7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51.75" customHeight="1">
      <c r="A36" s="7">
        <v>1169005010</v>
      </c>
      <c r="B36" s="8" t="s">
        <v>344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-2.9999999999999997E-4</v>
      </c>
      <c r="E37" s="5" t="e">
        <f t="shared" si="0"/>
        <v>#DIV/0!</v>
      </c>
      <c r="F37" s="5">
        <f t="shared" si="1"/>
        <v>-2.9999999999999997E-4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-2.9999999999999997E-4</v>
      </c>
      <c r="E38" s="9" t="e">
        <f t="shared" si="0"/>
        <v>#DIV/0!</v>
      </c>
      <c r="F38" s="9">
        <f t="shared" si="1"/>
        <v>-2.9999999999999997E-4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127">
        <f>D4+D25</f>
        <v>109.62719</v>
      </c>
      <c r="E40" s="5">
        <f t="shared" si="0"/>
        <v>12.050122010200493</v>
      </c>
      <c r="F40" s="5">
        <f t="shared" si="1"/>
        <v>-800.13280999999995</v>
      </c>
    </row>
    <row r="41" spans="1:7" s="6" customFormat="1">
      <c r="A41" s="3">
        <v>2000000000</v>
      </c>
      <c r="B41" s="4" t="s">
        <v>20</v>
      </c>
      <c r="C41" s="5">
        <f>C42+C43+C44+C45+C46+C47+C50</f>
        <v>2526.0639999999999</v>
      </c>
      <c r="D41" s="289">
        <f>D42+D43+D44+D45+D46+D47+D50</f>
        <v>617.98699999999997</v>
      </c>
      <c r="E41" s="5">
        <f t="shared" si="0"/>
        <v>24.464423704229187</v>
      </c>
      <c r="F41" s="5">
        <f t="shared" si="1"/>
        <v>-1908.0769999999998</v>
      </c>
      <c r="G41" s="19"/>
    </row>
    <row r="42" spans="1:7" ht="16.5" customHeight="1">
      <c r="A42" s="16">
        <v>2021000000</v>
      </c>
      <c r="B42" s="17" t="s">
        <v>21</v>
      </c>
      <c r="C42" s="12">
        <f>1209.5+20.448</f>
        <v>1229.9480000000001</v>
      </c>
      <c r="D42" s="20">
        <v>403.16399999999999</v>
      </c>
      <c r="E42" s="9">
        <f t="shared" si="0"/>
        <v>32.778946752220421</v>
      </c>
      <c r="F42" s="9">
        <f t="shared" si="1"/>
        <v>-826.78400000000011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100</v>
      </c>
      <c r="E43" s="9">
        <f t="shared" si="0"/>
        <v>25</v>
      </c>
      <c r="F43" s="9">
        <f t="shared" si="1"/>
        <v>-300</v>
      </c>
    </row>
    <row r="44" spans="1:7">
      <c r="A44" s="16">
        <v>2022000000</v>
      </c>
      <c r="B44" s="17" t="s">
        <v>22</v>
      </c>
      <c r="C44" s="12">
        <v>726.52</v>
      </c>
      <c r="D44" s="10">
        <v>0</v>
      </c>
      <c r="E44" s="9">
        <f t="shared" si="0"/>
        <v>0</v>
      </c>
      <c r="F44" s="9">
        <f t="shared" si="1"/>
        <v>-726.52</v>
      </c>
    </row>
    <row r="45" spans="1:7" ht="15" customHeight="1">
      <c r="A45" s="16">
        <v>2023000000</v>
      </c>
      <c r="B45" s="17" t="s">
        <v>23</v>
      </c>
      <c r="C45" s="12">
        <v>72.495999999999995</v>
      </c>
      <c r="D45" s="252">
        <v>17.722999999999999</v>
      </c>
      <c r="E45" s="9">
        <f t="shared" si="0"/>
        <v>24.446866033988083</v>
      </c>
      <c r="F45" s="9">
        <f t="shared" si="1"/>
        <v>-54.772999999999996</v>
      </c>
    </row>
    <row r="46" spans="1:7" ht="17.2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17.25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17.25" customHeight="1">
      <c r="A48" s="16">
        <v>2080500010</v>
      </c>
      <c r="B48" s="18" t="s">
        <v>256</v>
      </c>
      <c r="C48" s="12"/>
      <c r="D48" s="253"/>
      <c r="E48" s="9"/>
      <c r="F48" s="9"/>
    </row>
    <row r="49" spans="1:7" s="6" customFormat="1" ht="17.25" customHeight="1">
      <c r="A49" s="3">
        <v>3000000000</v>
      </c>
      <c r="B49" s="13" t="s">
        <v>27</v>
      </c>
      <c r="C49" s="2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289">
        <f>C40+C41</f>
        <v>3435.8239999999996</v>
      </c>
      <c r="D51" s="362">
        <f>D40+D41</f>
        <v>727.61419000000001</v>
      </c>
      <c r="E51" s="93">
        <f t="shared" si="0"/>
        <v>21.177283527910628</v>
      </c>
      <c r="F51" s="93">
        <f t="shared" si="1"/>
        <v>-2708.2098099999994</v>
      </c>
      <c r="G51" s="94"/>
    </row>
    <row r="52" spans="1:7" s="6" customFormat="1" ht="23.25" customHeight="1">
      <c r="A52" s="3"/>
      <c r="B52" s="21" t="s">
        <v>322</v>
      </c>
      <c r="C52" s="289">
        <f>C51-C97</f>
        <v>53.393469999999979</v>
      </c>
      <c r="D52" s="289">
        <f>D51-D97</f>
        <v>271.25506999999999</v>
      </c>
      <c r="E52" s="290"/>
      <c r="F52" s="290"/>
    </row>
    <row r="53" spans="1:7">
      <c r="A53" s="23"/>
      <c r="B53" s="24"/>
      <c r="C53" s="11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360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1094.7529999999999</v>
      </c>
      <c r="D56" s="33">
        <f>D57+D58+D59+D60+D61+D63+D62</f>
        <v>228.39902000000001</v>
      </c>
      <c r="E56" s="34">
        <f>SUM(D56/C56*100)</f>
        <v>20.863064088429081</v>
      </c>
      <c r="F56" s="34">
        <f>SUM(D56-C56)</f>
        <v>-866.35397999999986</v>
      </c>
    </row>
    <row r="57" spans="1:7" s="6" customFormat="1" ht="15.75" customHeight="1">
      <c r="A57" s="35" t="s">
        <v>32</v>
      </c>
      <c r="B57" s="36" t="s">
        <v>33</v>
      </c>
      <c r="C57" s="292"/>
      <c r="D57" s="292"/>
      <c r="E57" s="38"/>
      <c r="F57" s="38"/>
    </row>
    <row r="58" spans="1:7" ht="15" customHeight="1">
      <c r="A58" s="35" t="s">
        <v>34</v>
      </c>
      <c r="B58" s="39" t="s">
        <v>35</v>
      </c>
      <c r="C58" s="292">
        <v>1087.1479999999999</v>
      </c>
      <c r="D58" s="292">
        <v>228.39902000000001</v>
      </c>
      <c r="E58" s="38">
        <f t="shared" ref="E58:E97" si="3">SUM(D58/C58*100)</f>
        <v>21.009008892993414</v>
      </c>
      <c r="F58" s="38">
        <f t="shared" ref="F58:F97" si="4">SUM(D58-C58)</f>
        <v>-858.74897999999985</v>
      </c>
    </row>
    <row r="59" spans="1:7" ht="17.25" customHeight="1">
      <c r="A59" s="35" t="s">
        <v>36</v>
      </c>
      <c r="B59" s="39" t="s">
        <v>37</v>
      </c>
      <c r="C59" s="292"/>
      <c r="D59" s="292"/>
      <c r="E59" s="38"/>
      <c r="F59" s="38">
        <f t="shared" si="4"/>
        <v>0</v>
      </c>
    </row>
    <row r="60" spans="1:7" ht="15.75" customHeight="1">
      <c r="A60" s="35" t="s">
        <v>38</v>
      </c>
      <c r="B60" s="39" t="s">
        <v>39</v>
      </c>
      <c r="C60" s="292"/>
      <c r="D60" s="292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292">
        <v>0</v>
      </c>
      <c r="D61" s="292">
        <v>0</v>
      </c>
      <c r="E61" s="38" t="e">
        <f t="shared" si="3"/>
        <v>#DIV/0!</v>
      </c>
      <c r="F61" s="38">
        <f t="shared" si="4"/>
        <v>0</v>
      </c>
    </row>
    <row r="62" spans="1:7" ht="15" customHeight="1">
      <c r="A62" s="35" t="s">
        <v>42</v>
      </c>
      <c r="B62" s="39" t="s">
        <v>43</v>
      </c>
      <c r="C62" s="293">
        <v>5</v>
      </c>
      <c r="D62" s="293">
        <v>0</v>
      </c>
      <c r="E62" s="38">
        <f t="shared" si="3"/>
        <v>0</v>
      </c>
      <c r="F62" s="38">
        <f t="shared" si="4"/>
        <v>-5</v>
      </c>
    </row>
    <row r="63" spans="1:7" ht="19.5" customHeight="1">
      <c r="A63" s="35" t="s">
        <v>44</v>
      </c>
      <c r="B63" s="39" t="s">
        <v>45</v>
      </c>
      <c r="C63" s="292">
        <v>2.605</v>
      </c>
      <c r="D63" s="292">
        <v>0</v>
      </c>
      <c r="E63" s="38">
        <f t="shared" si="3"/>
        <v>0</v>
      </c>
      <c r="F63" s="38">
        <f t="shared" si="4"/>
        <v>-2.605</v>
      </c>
    </row>
    <row r="64" spans="1:7" s="6" customFormat="1">
      <c r="A64" s="41" t="s">
        <v>46</v>
      </c>
      <c r="B64" s="42" t="s">
        <v>47</v>
      </c>
      <c r="C64" s="33">
        <f>C65</f>
        <v>70.596000000000004</v>
      </c>
      <c r="D64" s="33">
        <f>D65</f>
        <v>13.05072</v>
      </c>
      <c r="E64" s="34">
        <f t="shared" si="3"/>
        <v>18.486486486486488</v>
      </c>
      <c r="F64" s="34">
        <f t="shared" si="4"/>
        <v>-57.545280000000005</v>
      </c>
    </row>
    <row r="65" spans="1:9">
      <c r="A65" s="43" t="s">
        <v>48</v>
      </c>
      <c r="B65" s="44" t="s">
        <v>49</v>
      </c>
      <c r="C65" s="292">
        <v>70.596000000000004</v>
      </c>
      <c r="D65" s="292">
        <v>13.05072</v>
      </c>
      <c r="E65" s="38">
        <f t="shared" si="3"/>
        <v>18.486486486486488</v>
      </c>
      <c r="F65" s="38">
        <f t="shared" si="4"/>
        <v>-57.545280000000005</v>
      </c>
    </row>
    <row r="66" spans="1:9" s="6" customFormat="1" ht="18.75" customHeight="1">
      <c r="A66" s="30" t="s">
        <v>50</v>
      </c>
      <c r="B66" s="31" t="s">
        <v>51</v>
      </c>
      <c r="C66" s="33">
        <f>C69+C70</f>
        <v>4</v>
      </c>
      <c r="D66" s="33">
        <f>D69+D70</f>
        <v>0</v>
      </c>
      <c r="E66" s="34">
        <f t="shared" si="3"/>
        <v>0</v>
      </c>
      <c r="F66" s="34">
        <f t="shared" si="4"/>
        <v>-4</v>
      </c>
    </row>
    <row r="67" spans="1:9" ht="1.5" customHeight="1">
      <c r="A67" s="35" t="s">
        <v>52</v>
      </c>
      <c r="B67" s="39" t="s">
        <v>53</v>
      </c>
      <c r="C67" s="292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customHeight="1">
      <c r="A68" s="45" t="s">
        <v>54</v>
      </c>
      <c r="B68" s="39" t="s">
        <v>55</v>
      </c>
      <c r="C68" s="292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94">
        <v>2</v>
      </c>
      <c r="D69" s="33">
        <v>0</v>
      </c>
      <c r="E69" s="34">
        <f t="shared" si="3"/>
        <v>0</v>
      </c>
      <c r="F69" s="34">
        <f t="shared" si="4"/>
        <v>-2</v>
      </c>
    </row>
    <row r="70" spans="1:9">
      <c r="A70" s="46" t="s">
        <v>219</v>
      </c>
      <c r="B70" s="47" t="s">
        <v>220</v>
      </c>
      <c r="C70" s="292">
        <v>2</v>
      </c>
      <c r="D70" s="292">
        <v>0</v>
      </c>
      <c r="E70" s="34">
        <f t="shared" si="3"/>
        <v>0</v>
      </c>
      <c r="F70" s="34">
        <f t="shared" si="4"/>
        <v>-2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1291.78153</v>
      </c>
      <c r="D71" s="33">
        <f>SUM(D72:D75)</f>
        <v>54.208379999999998</v>
      </c>
      <c r="E71" s="34">
        <f t="shared" si="3"/>
        <v>4.1964046350778839</v>
      </c>
      <c r="F71" s="34">
        <f t="shared" si="4"/>
        <v>-1237.5731499999999</v>
      </c>
      <c r="I71" s="108"/>
    </row>
    <row r="72" spans="1:9" ht="15.75" customHeight="1">
      <c r="A72" s="35" t="s">
        <v>60</v>
      </c>
      <c r="B72" s="39" t="s">
        <v>61</v>
      </c>
      <c r="C72" s="292">
        <f>1.9+5.6</f>
        <v>7.5</v>
      </c>
      <c r="D72" s="292">
        <v>0</v>
      </c>
      <c r="E72" s="38">
        <f t="shared" si="3"/>
        <v>0</v>
      </c>
      <c r="F72" s="38">
        <f t="shared" si="4"/>
        <v>-7.5</v>
      </c>
    </row>
    <row r="73" spans="1:9" s="6" customFormat="1" ht="19.5" customHeight="1">
      <c r="A73" s="35" t="s">
        <v>62</v>
      </c>
      <c r="B73" s="39" t="s">
        <v>63</v>
      </c>
      <c r="C73" s="292">
        <f>29.995+50</f>
        <v>79.995000000000005</v>
      </c>
      <c r="D73" s="292">
        <v>0</v>
      </c>
      <c r="E73" s="38">
        <f t="shared" si="3"/>
        <v>0</v>
      </c>
      <c r="F73" s="38">
        <f t="shared" si="4"/>
        <v>-79.995000000000005</v>
      </c>
      <c r="G73" s="50"/>
    </row>
    <row r="74" spans="1:9">
      <c r="A74" s="35" t="s">
        <v>64</v>
      </c>
      <c r="B74" s="39" t="s">
        <v>65</v>
      </c>
      <c r="C74" s="292">
        <v>1131.4865299999999</v>
      </c>
      <c r="D74" s="292">
        <v>54.208379999999998</v>
      </c>
      <c r="E74" s="38">
        <f t="shared" si="3"/>
        <v>4.7908992783148729</v>
      </c>
      <c r="F74" s="38">
        <f t="shared" si="4"/>
        <v>-1077.2781499999999</v>
      </c>
    </row>
    <row r="75" spans="1:9">
      <c r="A75" s="35" t="s">
        <v>66</v>
      </c>
      <c r="B75" s="39" t="s">
        <v>67</v>
      </c>
      <c r="C75" s="292">
        <v>72.8</v>
      </c>
      <c r="D75" s="292">
        <v>0</v>
      </c>
      <c r="E75" s="38">
        <f t="shared" si="3"/>
        <v>0</v>
      </c>
      <c r="F75" s="38">
        <f t="shared" si="4"/>
        <v>-72.8</v>
      </c>
    </row>
    <row r="76" spans="1:9" s="6" customFormat="1" ht="19.5" customHeight="1">
      <c r="A76" s="30" t="s">
        <v>68</v>
      </c>
      <c r="B76" s="31" t="s">
        <v>69</v>
      </c>
      <c r="C76" s="33">
        <f>SUM(C77:C79)</f>
        <v>223.6</v>
      </c>
      <c r="D76" s="33">
        <f>SUM(D77:D79)</f>
        <v>0</v>
      </c>
      <c r="E76" s="34">
        <f t="shared" si="3"/>
        <v>0</v>
      </c>
      <c r="F76" s="34">
        <f t="shared" si="4"/>
        <v>-223.6</v>
      </c>
    </row>
    <row r="77" spans="1:9" ht="15" customHeight="1">
      <c r="A77" s="35" t="s">
        <v>70</v>
      </c>
      <c r="B77" s="51" t="s">
        <v>71</v>
      </c>
      <c r="C77" s="292"/>
      <c r="D77" s="292"/>
      <c r="E77" s="38" t="e">
        <f t="shared" si="3"/>
        <v>#DIV/0!</v>
      </c>
      <c r="F77" s="38">
        <f t="shared" si="4"/>
        <v>0</v>
      </c>
    </row>
    <row r="78" spans="1:9" ht="18" customHeight="1">
      <c r="A78" s="35" t="s">
        <v>72</v>
      </c>
      <c r="B78" s="51" t="s">
        <v>73</v>
      </c>
      <c r="C78" s="292"/>
      <c r="D78" s="292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92">
        <f>148.6+70+5</f>
        <v>223.6</v>
      </c>
      <c r="D79" s="292">
        <v>0</v>
      </c>
      <c r="E79" s="38">
        <f t="shared" si="3"/>
        <v>0</v>
      </c>
      <c r="F79" s="38">
        <f t="shared" si="4"/>
        <v>-223.6</v>
      </c>
    </row>
    <row r="80" spans="1:9" s="6" customFormat="1">
      <c r="A80" s="30" t="s">
        <v>86</v>
      </c>
      <c r="B80" s="31" t="s">
        <v>87</v>
      </c>
      <c r="C80" s="33">
        <f>C81</f>
        <v>693.7</v>
      </c>
      <c r="D80" s="33">
        <f>SUM(D81)</f>
        <v>156.703</v>
      </c>
      <c r="E80" s="34">
        <f t="shared" si="3"/>
        <v>22.589447888136078</v>
      </c>
      <c r="F80" s="34">
        <f t="shared" si="4"/>
        <v>-536.99700000000007</v>
      </c>
    </row>
    <row r="81" spans="1:12" ht="16.5" customHeight="1">
      <c r="A81" s="35" t="s">
        <v>88</v>
      </c>
      <c r="B81" s="39" t="s">
        <v>234</v>
      </c>
      <c r="C81" s="292">
        <f>693.7</f>
        <v>693.7</v>
      </c>
      <c r="D81" s="292">
        <v>156.703</v>
      </c>
      <c r="E81" s="38">
        <f t="shared" si="3"/>
        <v>22.589447888136078</v>
      </c>
      <c r="F81" s="38">
        <f t="shared" si="4"/>
        <v>-536.99700000000007</v>
      </c>
      <c r="L81" s="107"/>
    </row>
    <row r="82" spans="1:12" s="6" customFormat="1" ht="1.5" customHeight="1">
      <c r="A82" s="52">
        <v>1000</v>
      </c>
      <c r="B82" s="31" t="s">
        <v>89</v>
      </c>
      <c r="C82" s="33">
        <f>SUM(C83:C86)</f>
        <v>0</v>
      </c>
      <c r="D82" s="33">
        <f>SUM(D83:D86)</f>
        <v>0</v>
      </c>
      <c r="E82" s="34" t="e">
        <f t="shared" si="3"/>
        <v>#DIV/0!</v>
      </c>
      <c r="F82" s="34">
        <f t="shared" si="4"/>
        <v>0</v>
      </c>
    </row>
    <row r="83" spans="1:12" ht="15" customHeight="1">
      <c r="A83" s="53">
        <v>1001</v>
      </c>
      <c r="B83" s="54" t="s">
        <v>90</v>
      </c>
      <c r="C83" s="292"/>
      <c r="D83" s="292"/>
      <c r="E83" s="38" t="e">
        <f t="shared" si="3"/>
        <v>#DIV/0!</v>
      </c>
      <c r="F83" s="38">
        <f t="shared" si="4"/>
        <v>0</v>
      </c>
    </row>
    <row r="84" spans="1:12" ht="17.25" customHeight="1">
      <c r="A84" s="53">
        <v>1003</v>
      </c>
      <c r="B84" s="54" t="s">
        <v>91</v>
      </c>
      <c r="C84" s="292"/>
      <c r="D84" s="292"/>
      <c r="E84" s="38" t="e">
        <f t="shared" si="3"/>
        <v>#DIV/0!</v>
      </c>
      <c r="F84" s="38">
        <f t="shared" si="4"/>
        <v>0</v>
      </c>
    </row>
    <row r="85" spans="1:12" ht="17.25" customHeight="1">
      <c r="A85" s="53">
        <v>1004</v>
      </c>
      <c r="B85" s="54" t="s">
        <v>92</v>
      </c>
      <c r="C85" s="292"/>
      <c r="D85" s="295"/>
      <c r="E85" s="38" t="e">
        <f t="shared" si="3"/>
        <v>#DIV/0!</v>
      </c>
      <c r="F85" s="38">
        <f t="shared" si="4"/>
        <v>0</v>
      </c>
    </row>
    <row r="86" spans="1:12" ht="15" customHeight="1">
      <c r="A86" s="35" t="s">
        <v>93</v>
      </c>
      <c r="B86" s="39" t="s">
        <v>94</v>
      </c>
      <c r="C86" s="292">
        <v>0</v>
      </c>
      <c r="D86" s="292">
        <v>0</v>
      </c>
      <c r="E86" s="38"/>
      <c r="F86" s="38">
        <f t="shared" si="4"/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8.75" customHeight="1">
      <c r="A88" s="35" t="s">
        <v>97</v>
      </c>
      <c r="B88" s="39" t="s">
        <v>98</v>
      </c>
      <c r="C88" s="292">
        <v>4</v>
      </c>
      <c r="D88" s="292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customHeight="1">
      <c r="A89" s="35" t="s">
        <v>99</v>
      </c>
      <c r="B89" s="39" t="s">
        <v>100</v>
      </c>
      <c r="C89" s="292"/>
      <c r="D89" s="292">
        <v>0</v>
      </c>
      <c r="E89" s="38" t="e">
        <f t="shared" si="3"/>
        <v>#DIV/0!</v>
      </c>
      <c r="F89" s="38">
        <f>SUM(D89-C89)</f>
        <v>0</v>
      </c>
    </row>
    <row r="90" spans="1:12" ht="15.75" customHeight="1">
      <c r="A90" s="35" t="s">
        <v>101</v>
      </c>
      <c r="B90" s="39" t="s">
        <v>102</v>
      </c>
      <c r="C90" s="292"/>
      <c r="D90" s="292"/>
      <c r="E90" s="38" t="e">
        <f t="shared" si="3"/>
        <v>#DIV/0!</v>
      </c>
      <c r="F90" s="38"/>
    </row>
    <row r="91" spans="1:12" ht="3" customHeight="1">
      <c r="A91" s="35" t="s">
        <v>103</v>
      </c>
      <c r="B91" s="39" t="s">
        <v>104</v>
      </c>
      <c r="C91" s="292"/>
      <c r="D91" s="292"/>
      <c r="E91" s="38" t="e">
        <f t="shared" si="3"/>
        <v>#DIV/0!</v>
      </c>
      <c r="F91" s="38"/>
    </row>
    <row r="92" spans="1:12" ht="15" customHeight="1">
      <c r="A92" s="35" t="s">
        <v>105</v>
      </c>
      <c r="B92" s="39" t="s">
        <v>106</v>
      </c>
      <c r="C92" s="292"/>
      <c r="D92" s="292"/>
      <c r="E92" s="38" t="e">
        <f t="shared" si="3"/>
        <v>#DIV/0!</v>
      </c>
      <c r="F92" s="38"/>
    </row>
    <row r="93" spans="1:12" s="6" customFormat="1" ht="12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customHeight="1">
      <c r="A94" s="53">
        <v>1401</v>
      </c>
      <c r="B94" s="54" t="s">
        <v>116</v>
      </c>
      <c r="C94" s="292"/>
      <c r="D94" s="292"/>
      <c r="E94" s="38" t="e">
        <f t="shared" si="3"/>
        <v>#DIV/0!</v>
      </c>
      <c r="F94" s="38">
        <f t="shared" si="4"/>
        <v>0</v>
      </c>
    </row>
    <row r="95" spans="1:12" ht="57.75" customHeight="1">
      <c r="A95" s="53">
        <v>1402</v>
      </c>
      <c r="B95" s="54" t="s">
        <v>117</v>
      </c>
      <c r="C95" s="292"/>
      <c r="D95" s="292"/>
      <c r="E95" s="38" t="e">
        <f t="shared" si="3"/>
        <v>#DIV/0!</v>
      </c>
      <c r="F95" s="38">
        <f t="shared" si="4"/>
        <v>0</v>
      </c>
    </row>
    <row r="96" spans="1:12" ht="23.25" customHeight="1">
      <c r="A96" s="53">
        <v>1403</v>
      </c>
      <c r="B96" s="54" t="s">
        <v>118</v>
      </c>
      <c r="C96" s="292"/>
      <c r="D96" s="292"/>
      <c r="E96" s="38" t="e">
        <f t="shared" si="3"/>
        <v>#DIV/0!</v>
      </c>
      <c r="F96" s="38">
        <f t="shared" si="4"/>
        <v>0</v>
      </c>
    </row>
    <row r="97" spans="1:6" s="6" customFormat="1" ht="16.5" customHeight="1">
      <c r="A97" s="52"/>
      <c r="B97" s="57" t="s">
        <v>119</v>
      </c>
      <c r="C97" s="33">
        <f>C56+C64+C66+C71+C76+C80+C87</f>
        <v>3382.4305299999996</v>
      </c>
      <c r="D97" s="33">
        <f>D56+D64+D71+D76+D80+D66+D87</f>
        <v>456.35912000000002</v>
      </c>
      <c r="E97" s="34">
        <f t="shared" si="3"/>
        <v>13.492047093129806</v>
      </c>
      <c r="F97" s="34">
        <f t="shared" si="4"/>
        <v>-2926.0714099999996</v>
      </c>
    </row>
    <row r="98" spans="1:6" ht="20.25" customHeight="1">
      <c r="C98" s="126"/>
      <c r="D98" s="101"/>
    </row>
    <row r="99" spans="1:6" s="65" customFormat="1" ht="13.5" customHeight="1">
      <c r="A99" s="63" t="s">
        <v>120</v>
      </c>
      <c r="B99" s="63"/>
      <c r="C99" s="116"/>
      <c r="D99" s="64"/>
    </row>
    <row r="100" spans="1:6" s="65" customFormat="1" ht="12.75">
      <c r="A100" s="66" t="s">
        <v>121</v>
      </c>
      <c r="B100" s="66"/>
      <c r="C100" s="134" t="s">
        <v>122</v>
      </c>
      <c r="D100" s="134"/>
    </row>
    <row r="101" spans="1:6">
      <c r="C101" s="120"/>
    </row>
    <row r="103" spans="1:6" ht="5.25" customHeight="1"/>
    <row r="141" hidden="1"/>
  </sheetData>
  <customSheetViews>
    <customSheetView guid="{A54C432C-6C68-4B53-A75C-446EB3A61B2B}" scale="70" showPageBreaks="1" hiddenRows="1" view="pageBreakPreview" topLeftCell="A69">
      <selection activeCell="C141" sqref="C141:D141"/>
      <pageMargins left="0.7" right="0.7" top="0.75" bottom="0.75" header="0.3" footer="0.3"/>
      <pageSetup paperSize="9" scale="54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hiddenRows="1" view="pageBreakPreview">
      <selection activeCell="C141" sqref="C141:D141"/>
      <pageMargins left="0.7" right="0.7" top="0.75" bottom="0.75" header="0.3" footer="0.3"/>
      <pageSetup paperSize="9" scale="54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4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373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2400.41</v>
      </c>
      <c r="D4" s="5">
        <f>D5+D12+D14+D17+D7</f>
        <v>314.03900000000004</v>
      </c>
      <c r="E4" s="5">
        <f>SUM(D4/C4*100)</f>
        <v>13.082723368091287</v>
      </c>
      <c r="F4" s="5">
        <f>SUM(D4-C4)</f>
        <v>-2086.3709999999996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29.4038</v>
      </c>
      <c r="E5" s="5">
        <f t="shared" ref="E5:E50" si="0">SUM(D5/C5*100)</f>
        <v>25.68017467248908</v>
      </c>
      <c r="F5" s="5">
        <f t="shared" ref="F5:F50" si="1">SUM(D5-C5)</f>
        <v>-85.096199999999996</v>
      </c>
    </row>
    <row r="6" spans="1:6">
      <c r="A6" s="7">
        <v>1010200001</v>
      </c>
      <c r="B6" s="8" t="s">
        <v>229</v>
      </c>
      <c r="C6" s="9">
        <v>114.5</v>
      </c>
      <c r="D6" s="10">
        <v>29.4038</v>
      </c>
      <c r="E6" s="9">
        <f t="shared" ref="E6:E11" si="2">SUM(D6/C6*100)</f>
        <v>25.68017467248908</v>
      </c>
      <c r="F6" s="9">
        <f t="shared" si="1"/>
        <v>-85.096199999999996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116.11144</v>
      </c>
      <c r="E7" s="5">
        <f t="shared" si="2"/>
        <v>23.343205806075474</v>
      </c>
      <c r="F7" s="5">
        <f t="shared" si="1"/>
        <v>-381.29855999999995</v>
      </c>
    </row>
    <row r="8" spans="1:6">
      <c r="A8" s="7">
        <v>1030223001</v>
      </c>
      <c r="B8" s="8" t="s">
        <v>283</v>
      </c>
      <c r="C8" s="9">
        <v>185.53</v>
      </c>
      <c r="D8" s="10">
        <v>47.83605</v>
      </c>
      <c r="E8" s="9">
        <f t="shared" si="2"/>
        <v>25.783458200830054</v>
      </c>
      <c r="F8" s="9">
        <f t="shared" si="1"/>
        <v>-137.69395</v>
      </c>
    </row>
    <row r="9" spans="1:6">
      <c r="A9" s="7">
        <v>1030224001</v>
      </c>
      <c r="B9" s="8" t="s">
        <v>289</v>
      </c>
      <c r="C9" s="9">
        <v>2</v>
      </c>
      <c r="D9" s="10">
        <v>0.32246000000000002</v>
      </c>
      <c r="E9" s="9">
        <f t="shared" si="2"/>
        <v>16.123000000000001</v>
      </c>
      <c r="F9" s="9">
        <f t="shared" si="1"/>
        <v>-1.67754</v>
      </c>
    </row>
    <row r="10" spans="1:6">
      <c r="A10" s="7">
        <v>1030225001</v>
      </c>
      <c r="B10" s="8" t="s">
        <v>282</v>
      </c>
      <c r="C10" s="9">
        <v>309.88</v>
      </c>
      <c r="D10" s="10">
        <v>77.920749999999998</v>
      </c>
      <c r="E10" s="9">
        <f t="shared" si="2"/>
        <v>25.145459532722342</v>
      </c>
      <c r="F10" s="9">
        <f t="shared" si="1"/>
        <v>-231.95925</v>
      </c>
    </row>
    <row r="11" spans="1:6">
      <c r="A11" s="7">
        <v>1030226001</v>
      </c>
      <c r="B11" s="8" t="s">
        <v>291</v>
      </c>
      <c r="C11" s="9">
        <v>0</v>
      </c>
      <c r="D11" s="10">
        <v>-9.9678199999999997</v>
      </c>
      <c r="E11" s="9" t="e">
        <f t="shared" si="2"/>
        <v>#DIV/0!</v>
      </c>
      <c r="F11" s="9">
        <f t="shared" si="1"/>
        <v>-9.9678199999999997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0.61770000000000003</v>
      </c>
      <c r="E12" s="5">
        <f t="shared" si="0"/>
        <v>4.1180000000000003</v>
      </c>
      <c r="F12" s="5">
        <f t="shared" si="1"/>
        <v>-14.382300000000001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0.61770000000000003</v>
      </c>
      <c r="E13" s="9">
        <f t="shared" si="0"/>
        <v>4.1180000000000003</v>
      </c>
      <c r="F13" s="9">
        <f t="shared" si="1"/>
        <v>-14.382300000000001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164.10606000000001</v>
      </c>
      <c r="E14" s="5">
        <f t="shared" si="0"/>
        <v>9.3162679534487669</v>
      </c>
      <c r="F14" s="5">
        <f t="shared" si="1"/>
        <v>-1597.3939399999999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-0.48376999999999998</v>
      </c>
      <c r="E15" s="9">
        <f t="shared" si="0"/>
        <v>-0.32251333333333332</v>
      </c>
      <c r="F15" s="9">
        <f>SUM(D15-C15)</f>
        <v>-150.48376999999999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164.58983000000001</v>
      </c>
      <c r="E16" s="9">
        <f t="shared" si="0"/>
        <v>10.213455165994416</v>
      </c>
      <c r="F16" s="9">
        <f t="shared" si="1"/>
        <v>-1446.9101700000001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3.8</v>
      </c>
      <c r="E17" s="5">
        <f t="shared" si="0"/>
        <v>31.666666666666664</v>
      </c>
      <c r="F17" s="5">
        <f t="shared" si="1"/>
        <v>-8.1999999999999993</v>
      </c>
    </row>
    <row r="18" spans="1:6">
      <c r="A18" s="7">
        <v>1080400001</v>
      </c>
      <c r="B18" s="8" t="s">
        <v>228</v>
      </c>
      <c r="C18" s="9">
        <v>12</v>
      </c>
      <c r="D18" s="10">
        <v>3.8</v>
      </c>
      <c r="E18" s="9">
        <f t="shared" si="0"/>
        <v>31.666666666666664</v>
      </c>
      <c r="F18" s="9">
        <f t="shared" si="1"/>
        <v>-8.1999999999999993</v>
      </c>
    </row>
    <row r="19" spans="1:6" ht="47.2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250</v>
      </c>
      <c r="D25" s="5">
        <f>D26+D29+D31+D36+D34</f>
        <v>39.297940000000004</v>
      </c>
      <c r="E25" s="5">
        <f t="shared" si="0"/>
        <v>15.719176000000001</v>
      </c>
      <c r="F25" s="5">
        <f t="shared" si="1"/>
        <v>-210.70205999999999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6.66425</v>
      </c>
      <c r="E26" s="5">
        <f t="shared" si="0"/>
        <v>2.6657000000000002</v>
      </c>
      <c r="F26" s="5">
        <f t="shared" si="1"/>
        <v>-243.33574999999999</v>
      </c>
    </row>
    <row r="27" spans="1:6">
      <c r="A27" s="16">
        <v>1110502510</v>
      </c>
      <c r="B27" s="17" t="s">
        <v>226</v>
      </c>
      <c r="C27" s="12">
        <v>220</v>
      </c>
      <c r="D27" s="10">
        <v>0</v>
      </c>
      <c r="E27" s="9">
        <f t="shared" si="0"/>
        <v>0</v>
      </c>
      <c r="F27" s="9">
        <f t="shared" si="1"/>
        <v>-220</v>
      </c>
    </row>
    <row r="28" spans="1:6">
      <c r="A28" s="7">
        <v>1110503510</v>
      </c>
      <c r="B28" s="11" t="s">
        <v>225</v>
      </c>
      <c r="C28" s="12">
        <v>30</v>
      </c>
      <c r="D28" s="10">
        <v>6.66425</v>
      </c>
      <c r="E28" s="9">
        <f t="shared" si="0"/>
        <v>22.214166666666664</v>
      </c>
      <c r="F28" s="9">
        <f t="shared" si="1"/>
        <v>-23.335750000000001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28.633690000000001</v>
      </c>
      <c r="E29" s="5" t="e">
        <f t="shared" si="0"/>
        <v>#DIV/0!</v>
      </c>
      <c r="F29" s="5">
        <f t="shared" si="1"/>
        <v>28.633690000000001</v>
      </c>
    </row>
    <row r="30" spans="1:6" ht="15.75" customHeight="1">
      <c r="A30" s="7">
        <v>1130206510</v>
      </c>
      <c r="B30" s="8" t="s">
        <v>15</v>
      </c>
      <c r="C30" s="9">
        <v>0</v>
      </c>
      <c r="D30" s="10">
        <v>28.633690000000001</v>
      </c>
      <c r="E30" s="9" t="e">
        <f t="shared" si="0"/>
        <v>#DIV/0!</v>
      </c>
      <c r="F30" s="9">
        <f t="shared" si="1"/>
        <v>28.633690000000001</v>
      </c>
    </row>
    <row r="31" spans="1:6" ht="1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6.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6.5" customHeight="1">
      <c r="A34" s="3">
        <v>1160000000</v>
      </c>
      <c r="B34" s="13" t="s">
        <v>252</v>
      </c>
      <c r="C34" s="9">
        <v>0</v>
      </c>
      <c r="D34" s="10">
        <f>D35</f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4</v>
      </c>
      <c r="E36" s="9" t="e">
        <f t="shared" si="0"/>
        <v>#DIV/0!</v>
      </c>
      <c r="F36" s="5">
        <f t="shared" si="1"/>
        <v>4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4</v>
      </c>
      <c r="E37" s="9" t="e">
        <f t="shared" si="0"/>
        <v>#DIV/0!</v>
      </c>
      <c r="F37" s="9">
        <f t="shared" si="1"/>
        <v>4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2650.41</v>
      </c>
      <c r="D39" s="127">
        <f>SUM(D4,D25)</f>
        <v>353.33694000000003</v>
      </c>
      <c r="E39" s="5">
        <f t="shared" si="0"/>
        <v>13.3314068389419</v>
      </c>
      <c r="F39" s="5">
        <f t="shared" si="1"/>
        <v>-2297.0730599999997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2048.77</v>
      </c>
      <c r="D40" s="5">
        <f>D41+D42+D43+D44+D48</f>
        <v>328.84200000000004</v>
      </c>
      <c r="E40" s="5">
        <f t="shared" si="0"/>
        <v>16.050703592887441</v>
      </c>
      <c r="F40" s="5">
        <f t="shared" si="1"/>
        <v>-1719.9279999999999</v>
      </c>
      <c r="G40" s="19"/>
    </row>
    <row r="41" spans="1:7" ht="15" customHeight="1">
      <c r="A41" s="16">
        <v>2021000000</v>
      </c>
      <c r="B41" s="17" t="s">
        <v>21</v>
      </c>
      <c r="C41" s="12">
        <f>845.985</f>
        <v>845.98500000000001</v>
      </c>
      <c r="D41" s="20">
        <v>271.06400000000002</v>
      </c>
      <c r="E41" s="9">
        <f t="shared" si="0"/>
        <v>32.041230045449979</v>
      </c>
      <c r="F41" s="9">
        <f t="shared" si="1"/>
        <v>-574.92100000000005</v>
      </c>
    </row>
    <row r="42" spans="1:7" ht="15" customHeight="1">
      <c r="A42" s="16">
        <v>2021500200</v>
      </c>
      <c r="B42" s="17" t="s">
        <v>232</v>
      </c>
      <c r="C42" s="12">
        <v>600</v>
      </c>
      <c r="D42" s="20">
        <v>0</v>
      </c>
      <c r="E42" s="9">
        <f>SUM(D42/C42*100)</f>
        <v>0</v>
      </c>
      <c r="F42" s="9">
        <f>SUM(D42-C42)</f>
        <v>-600</v>
      </c>
    </row>
    <row r="43" spans="1:7">
      <c r="A43" s="16">
        <v>2022000000</v>
      </c>
      <c r="B43" s="17" t="s">
        <v>22</v>
      </c>
      <c r="C43" s="12">
        <v>491.39</v>
      </c>
      <c r="D43" s="10">
        <v>0</v>
      </c>
      <c r="E43" s="9">
        <f t="shared" si="0"/>
        <v>0</v>
      </c>
      <c r="F43" s="9">
        <f t="shared" si="1"/>
        <v>-491.39</v>
      </c>
    </row>
    <row r="44" spans="1:7" ht="15" customHeight="1">
      <c r="A44" s="16">
        <v>2023000000</v>
      </c>
      <c r="B44" s="17" t="s">
        <v>23</v>
      </c>
      <c r="C44" s="12">
        <v>71.295000000000002</v>
      </c>
      <c r="D44" s="252">
        <v>17.722999999999999</v>
      </c>
      <c r="E44" s="9">
        <f t="shared" si="0"/>
        <v>24.858685742338171</v>
      </c>
      <c r="F44" s="9">
        <f t="shared" si="1"/>
        <v>-53.572000000000003</v>
      </c>
    </row>
    <row r="45" spans="1:7" ht="15.75" customHeight="1">
      <c r="A45" s="16">
        <v>2020400000</v>
      </c>
      <c r="B45" s="17" t="s">
        <v>24</v>
      </c>
      <c r="C45" s="12">
        <v>0</v>
      </c>
      <c r="D45" s="253">
        <v>0</v>
      </c>
      <c r="E45" s="9" t="e">
        <f t="shared" si="0"/>
        <v>#DIV/0!</v>
      </c>
      <c r="F45" s="9">
        <f t="shared" si="1"/>
        <v>0</v>
      </c>
    </row>
    <row r="46" spans="1:7" ht="0.75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t="16.5" customHeight="1">
      <c r="A47" s="7">
        <v>2190500005</v>
      </c>
      <c r="B47" s="11" t="s">
        <v>26</v>
      </c>
      <c r="C47" s="10">
        <v>0</v>
      </c>
      <c r="D47" s="10">
        <v>0</v>
      </c>
      <c r="E47" s="5" t="e">
        <f t="shared" si="0"/>
        <v>#DIV/0!</v>
      </c>
      <c r="F47" s="5">
        <f>SUM(D47-C47)</f>
        <v>0</v>
      </c>
    </row>
    <row r="48" spans="1:7" ht="19.5" customHeight="1">
      <c r="A48" s="7">
        <v>2070502010</v>
      </c>
      <c r="B48" s="11" t="s">
        <v>303</v>
      </c>
      <c r="C48" s="10">
        <v>40.1</v>
      </c>
      <c r="D48" s="10">
        <v>40.055</v>
      </c>
      <c r="E48" s="5">
        <f>SUM(D48/C48*100)</f>
        <v>99.887780548628427</v>
      </c>
      <c r="F48" s="5">
        <f>SUM(D48-C48)</f>
        <v>-4.5000000000001705E-2</v>
      </c>
    </row>
    <row r="49" spans="1:7" s="6" customFormat="1" ht="0.75" customHeight="1">
      <c r="A49" s="3">
        <v>3000000000</v>
      </c>
      <c r="B49" s="13" t="s">
        <v>27</v>
      </c>
      <c r="C49" s="2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3"/>
      <c r="B50" s="4" t="s">
        <v>28</v>
      </c>
      <c r="C50" s="289">
        <f>C39+C40</f>
        <v>4699.18</v>
      </c>
      <c r="D50" s="362">
        <f>D39+D40</f>
        <v>682.17894000000001</v>
      </c>
      <c r="E50" s="5">
        <f t="shared" si="0"/>
        <v>14.516978281317167</v>
      </c>
      <c r="F50" s="5">
        <f t="shared" si="1"/>
        <v>-4017.0010600000005</v>
      </c>
      <c r="G50" s="94"/>
    </row>
    <row r="51" spans="1:7" s="6" customFormat="1">
      <c r="A51" s="3"/>
      <c r="B51" s="21" t="s">
        <v>321</v>
      </c>
      <c r="C51" s="289">
        <f>C50-C96</f>
        <v>-646.64891999999963</v>
      </c>
      <c r="D51" s="289">
        <f>D50-D96</f>
        <v>-116.92979000000003</v>
      </c>
      <c r="E51" s="22"/>
      <c r="F51" s="22"/>
    </row>
    <row r="52" spans="1:7">
      <c r="A52" s="23"/>
      <c r="B52" s="24"/>
      <c r="C52" s="251"/>
      <c r="D52" s="251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4" t="s">
        <v>346</v>
      </c>
      <c r="D53" s="245" t="s">
        <v>360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2.25" customHeight="1">
      <c r="A55" s="30" t="s">
        <v>30</v>
      </c>
      <c r="B55" s="31" t="s">
        <v>31</v>
      </c>
      <c r="C55" s="247">
        <f>C56+C57+C58+C59+C60+C62+C61</f>
        <v>1425.1709999999998</v>
      </c>
      <c r="D55" s="32">
        <f>D56+D57+D58+D59+D60+D62+D61</f>
        <v>249.87287000000001</v>
      </c>
      <c r="E55" s="34">
        <f>SUM(D55/C55*100)</f>
        <v>17.532834305497378</v>
      </c>
      <c r="F55" s="34">
        <f>SUM(D55-C55)</f>
        <v>-1175.2981299999999</v>
      </c>
    </row>
    <row r="56" spans="1:7" s="6" customFormat="1" ht="31.5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>
      <c r="A57" s="35" t="s">
        <v>34</v>
      </c>
      <c r="B57" s="39" t="s">
        <v>35</v>
      </c>
      <c r="C57" s="37">
        <v>1415.9849999999999</v>
      </c>
      <c r="D57" s="37">
        <v>249.87287000000001</v>
      </c>
      <c r="E57" s="34">
        <f>SUM(D57/C57*100)</f>
        <v>17.6465760583622</v>
      </c>
      <c r="F57" s="38">
        <f t="shared" ref="F57:F96" si="3">SUM(D57-C57)</f>
        <v>-1166.11213</v>
      </c>
    </row>
    <row r="58" spans="1:7" ht="16.5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4.1859999999999999</v>
      </c>
      <c r="D62" s="37">
        <v>0</v>
      </c>
      <c r="E62" s="38">
        <f t="shared" si="4"/>
        <v>0</v>
      </c>
      <c r="F62" s="38">
        <f t="shared" si="3"/>
        <v>-4.1859999999999999</v>
      </c>
    </row>
    <row r="63" spans="1:7" s="6" customFormat="1">
      <c r="A63" s="41" t="s">
        <v>46</v>
      </c>
      <c r="B63" s="42" t="s">
        <v>47</v>
      </c>
      <c r="C63" s="32">
        <f>C64</f>
        <v>70.594999999999999</v>
      </c>
      <c r="D63" s="32">
        <f>D64</f>
        <v>13.89208</v>
      </c>
      <c r="E63" s="34">
        <f t="shared" si="4"/>
        <v>19.678560804589559</v>
      </c>
      <c r="F63" s="34">
        <f t="shared" si="3"/>
        <v>-56.702919999999999</v>
      </c>
    </row>
    <row r="64" spans="1:7">
      <c r="A64" s="43" t="s">
        <v>48</v>
      </c>
      <c r="B64" s="44" t="s">
        <v>49</v>
      </c>
      <c r="C64" s="37">
        <v>70.594999999999999</v>
      </c>
      <c r="D64" s="37">
        <v>13.89208</v>
      </c>
      <c r="E64" s="38">
        <f t="shared" si="4"/>
        <v>19.678560804589559</v>
      </c>
      <c r="F64" s="38">
        <f t="shared" si="3"/>
        <v>-56.702919999999999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25.3</v>
      </c>
      <c r="D65" s="32">
        <f>D68+D69</f>
        <v>2.1</v>
      </c>
      <c r="E65" s="34">
        <f t="shared" si="4"/>
        <v>8.3003952569169961</v>
      </c>
      <c r="F65" s="34">
        <f t="shared" si="3"/>
        <v>-23.2</v>
      </c>
    </row>
    <row r="66" spans="1:7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25.3</v>
      </c>
      <c r="D69" s="37">
        <v>2.1</v>
      </c>
      <c r="E69" s="34">
        <f t="shared" si="4"/>
        <v>8.3003952569169961</v>
      </c>
      <c r="F69" s="34">
        <f t="shared" si="3"/>
        <v>-23.2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2290.2569200000003</v>
      </c>
      <c r="D70" s="48">
        <f>SUM(D71:D74)</f>
        <v>181.96503999999999</v>
      </c>
      <c r="E70" s="34">
        <f t="shared" si="4"/>
        <v>7.9451802289500328</v>
      </c>
      <c r="F70" s="34">
        <f t="shared" si="3"/>
        <v>-2108.2918800000002</v>
      </c>
    </row>
    <row r="71" spans="1:7">
      <c r="A71" s="35" t="s">
        <v>60</v>
      </c>
      <c r="B71" s="39" t="s">
        <v>61</v>
      </c>
      <c r="C71" s="49">
        <f>0.7+3.05</f>
        <v>3.75</v>
      </c>
      <c r="D71" s="37">
        <v>0</v>
      </c>
      <c r="E71" s="38">
        <f t="shared" si="4"/>
        <v>0</v>
      </c>
      <c r="F71" s="38">
        <f t="shared" si="3"/>
        <v>-3.75</v>
      </c>
    </row>
    <row r="72" spans="1:7" s="6" customFormat="1">
      <c r="A72" s="35" t="s">
        <v>62</v>
      </c>
      <c r="B72" s="39" t="s">
        <v>63</v>
      </c>
      <c r="C72" s="49">
        <v>1205</v>
      </c>
      <c r="D72" s="37">
        <v>89.060659999999999</v>
      </c>
      <c r="E72" s="38">
        <f t="shared" si="4"/>
        <v>7.3909261410788378</v>
      </c>
      <c r="F72" s="38">
        <f t="shared" si="3"/>
        <v>-1115.9393399999999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90.904380000000003</v>
      </c>
      <c r="E73" s="38">
        <f t="shared" si="4"/>
        <v>8.7796479447747533</v>
      </c>
      <c r="F73" s="38">
        <f t="shared" si="3"/>
        <v>-944.49454000000014</v>
      </c>
    </row>
    <row r="74" spans="1:7">
      <c r="A74" s="35" t="s">
        <v>66</v>
      </c>
      <c r="B74" s="39" t="s">
        <v>67</v>
      </c>
      <c r="C74" s="49">
        <v>46.107999999999997</v>
      </c>
      <c r="D74" s="37">
        <v>2</v>
      </c>
      <c r="E74" s="38">
        <f t="shared" si="4"/>
        <v>4.3376420577773924</v>
      </c>
      <c r="F74" s="38">
        <f t="shared" si="3"/>
        <v>-44.107999999999997</v>
      </c>
    </row>
    <row r="75" spans="1:7" s="6" customFormat="1" ht="14.25" customHeight="1">
      <c r="A75" s="30" t="s">
        <v>68</v>
      </c>
      <c r="B75" s="31" t="s">
        <v>69</v>
      </c>
      <c r="C75" s="32">
        <f>SUM(C76:C78)</f>
        <v>554.30600000000004</v>
      </c>
      <c r="D75" s="32">
        <f>SUM(D76:D78)</f>
        <v>63.528480000000002</v>
      </c>
      <c r="E75" s="34">
        <f t="shared" si="4"/>
        <v>11.460904265874806</v>
      </c>
      <c r="F75" s="34">
        <f t="shared" si="3"/>
        <v>-490.77752000000004</v>
      </c>
    </row>
    <row r="76" spans="1:7" ht="15.7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f>204.106+142+8+200.2</f>
        <v>554.30600000000004</v>
      </c>
      <c r="D78" s="37">
        <v>63.528480000000002</v>
      </c>
      <c r="E78" s="38">
        <f t="shared" si="4"/>
        <v>11.460904265874806</v>
      </c>
      <c r="F78" s="38">
        <f t="shared" si="3"/>
        <v>-490.77752000000004</v>
      </c>
    </row>
    <row r="79" spans="1:7" s="6" customFormat="1">
      <c r="A79" s="30" t="s">
        <v>86</v>
      </c>
      <c r="B79" s="31" t="s">
        <v>87</v>
      </c>
      <c r="C79" s="32">
        <f>C80</f>
        <v>950.2</v>
      </c>
      <c r="D79" s="32">
        <f>SUM(D80)</f>
        <v>285.55025999999998</v>
      </c>
      <c r="E79" s="34">
        <f t="shared" si="4"/>
        <v>30.051595453588714</v>
      </c>
      <c r="F79" s="34">
        <f t="shared" si="3"/>
        <v>-664.64974000000007</v>
      </c>
    </row>
    <row r="80" spans="1:7" ht="16.5" customHeight="1">
      <c r="A80" s="35" t="s">
        <v>88</v>
      </c>
      <c r="B80" s="39" t="s">
        <v>234</v>
      </c>
      <c r="C80" s="37">
        <v>950.2</v>
      </c>
      <c r="D80" s="37">
        <v>285.55025999999998</v>
      </c>
      <c r="E80" s="38">
        <f t="shared" si="4"/>
        <v>30.051595453588714</v>
      </c>
      <c r="F80" s="38">
        <f t="shared" si="3"/>
        <v>-664.64974000000007</v>
      </c>
    </row>
    <row r="81" spans="1:6" s="6" customFormat="1" ht="1.5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6" ht="1.5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6" ht="22.5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6" ht="0.75" customHeight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6" ht="30.75" customHeight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6">
      <c r="A86" s="30" t="s">
        <v>95</v>
      </c>
      <c r="B86" s="31" t="s">
        <v>96</v>
      </c>
      <c r="C86" s="32">
        <f>C87+C88+C89+C90+C91</f>
        <v>30</v>
      </c>
      <c r="D86" s="32">
        <f>D87+D88+D89+D90+D91</f>
        <v>2.2000000000000002</v>
      </c>
      <c r="E86" s="38">
        <f t="shared" si="4"/>
        <v>7.333333333333333</v>
      </c>
      <c r="F86" s="22">
        <f>F87+F88+F89+F90+F91</f>
        <v>-27.8</v>
      </c>
    </row>
    <row r="87" spans="1:6" ht="15" customHeight="1">
      <c r="A87" s="35" t="s">
        <v>97</v>
      </c>
      <c r="B87" s="39" t="s">
        <v>98</v>
      </c>
      <c r="C87" s="37">
        <v>30</v>
      </c>
      <c r="D87" s="37">
        <v>2.2000000000000002</v>
      </c>
      <c r="E87" s="38">
        <f t="shared" si="4"/>
        <v>7.333333333333333</v>
      </c>
      <c r="F87" s="38">
        <f>SUM(D87-C87)</f>
        <v>-27.8</v>
      </c>
    </row>
    <row r="88" spans="1:6" ht="15.75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6" ht="15.75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6" ht="15.75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6" ht="15.75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6" s="6" customFormat="1" ht="15.75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6" ht="15.75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6" ht="15.75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6" s="6" customFormat="1" ht="15.75" customHeight="1">
      <c r="A96" s="52"/>
      <c r="B96" s="57" t="s">
        <v>119</v>
      </c>
      <c r="C96" s="33">
        <f>C55+C63+C70+C75+C79+C81+C86+C65+C92</f>
        <v>5345.8289199999999</v>
      </c>
      <c r="D96" s="33">
        <f>D55+D63+D70+D75+D79+D81+D86+D65+D92</f>
        <v>799.10873000000004</v>
      </c>
      <c r="E96" s="34">
        <f t="shared" si="4"/>
        <v>14.948266058615284</v>
      </c>
      <c r="F96" s="34">
        <f t="shared" si="3"/>
        <v>-4546.72019</v>
      </c>
    </row>
    <row r="97" spans="1:4">
      <c r="C97" s="126"/>
      <c r="D97" s="101"/>
    </row>
    <row r="98" spans="1:4" s="65" customFormat="1" ht="16.5" customHeight="1">
      <c r="A98" s="63" t="s">
        <v>120</v>
      </c>
      <c r="B98" s="63"/>
      <c r="C98" s="250"/>
      <c r="D98" s="250"/>
    </row>
    <row r="99" spans="1:4" s="65" customFormat="1" ht="20.25" customHeight="1">
      <c r="A99" s="66" t="s">
        <v>121</v>
      </c>
      <c r="B99" s="66"/>
      <c r="C99" s="65" t="s">
        <v>122</v>
      </c>
    </row>
    <row r="100" spans="1:4" ht="13.5" customHeight="1">
      <c r="C100" s="120"/>
    </row>
    <row r="102" spans="1:4" ht="5.25" customHeight="1"/>
    <row r="141" hidden="1"/>
  </sheetData>
  <customSheetViews>
    <customSheetView guid="{A54C432C-6C68-4B53-A75C-446EB3A61B2B}" scale="70" showPageBreaks="1" printArea="1" hiddenRows="1" view="pageBreakPreview" topLeftCell="A60">
      <selection activeCell="C141" sqref="C141:D141"/>
      <pageMargins left="0.7" right="0.7" top="0.75" bottom="0.75" header="0.3" footer="0.3"/>
      <pageSetup paperSize="9" scale="57" orientation="portrait" r:id="rId1"/>
    </customSheetView>
    <customSheetView guid="{5BFCA170-DEAE-4D2C-98A0-1E68B427AC01}" scale="70" showPageBreaks="1" printArea="1" hiddenRows="1" view="pageBreakPreview" topLeftCell="A26">
      <selection activeCell="C96" sqref="C96:D96"/>
      <pageMargins left="0.7" right="0.7" top="0.75" bottom="0.75" header="0.3" footer="0.3"/>
      <pageSetup paperSize="9" scale="57" orientation="portrait" r:id="rId2"/>
    </customSheetView>
    <customSheetView guid="{42584DC0-1D41-4C93-9B38-C388E7B8DAC4}" scale="70" showPageBreaks="1" printArea="1" hiddenRows="1" view="pageBreakPreview">
      <selection activeCell="C141" sqref="C141:D141"/>
      <pageMargins left="0.7" right="0.7" top="0.75" bottom="0.75" header="0.3" footer="0.3"/>
      <pageSetup paperSize="9" scale="57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7" orientation="portrait" r:id="rId4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0.7109375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372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1338.54</v>
      </c>
      <c r="D4" s="383">
        <f>D5+D12+D14+D17+D7</f>
        <v>201.76973000000001</v>
      </c>
      <c r="E4" s="5">
        <f>SUM(D4/C4*100)</f>
        <v>15.073866302090339</v>
      </c>
      <c r="F4" s="5">
        <f>SUM(D4-C4)</f>
        <v>-1136.77027</v>
      </c>
    </row>
    <row r="5" spans="1:6" s="6" customFormat="1">
      <c r="A5" s="68">
        <v>1010000000</v>
      </c>
      <c r="B5" s="67" t="s">
        <v>6</v>
      </c>
      <c r="C5" s="5">
        <f>C6</f>
        <v>105.2</v>
      </c>
      <c r="D5" s="383">
        <f>D6</f>
        <v>17.359089999999998</v>
      </c>
      <c r="E5" s="5">
        <f t="shared" ref="E5:E52" si="0">SUM(D5/C5*100)</f>
        <v>16.501036121673003</v>
      </c>
      <c r="F5" s="5">
        <f t="shared" ref="F5:F52" si="1">SUM(D5-C5)</f>
        <v>-87.840910000000008</v>
      </c>
    </row>
    <row r="6" spans="1:6">
      <c r="A6" s="7">
        <v>1010200001</v>
      </c>
      <c r="B6" s="8" t="s">
        <v>229</v>
      </c>
      <c r="C6" s="9">
        <v>105.2</v>
      </c>
      <c r="D6" s="384">
        <v>17.359089999999998</v>
      </c>
      <c r="E6" s="9">
        <f t="shared" ref="E6:E11" si="2">SUM(D6/C6*100)</f>
        <v>16.501036121673003</v>
      </c>
      <c r="F6" s="9">
        <f t="shared" si="1"/>
        <v>-87.840910000000008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383">
        <f>D8+D10+D9+D11</f>
        <v>156.47646</v>
      </c>
      <c r="E7" s="5">
        <f t="shared" si="2"/>
        <v>23.342849897067165</v>
      </c>
      <c r="F7" s="5">
        <f t="shared" si="1"/>
        <v>-513.86353999999994</v>
      </c>
    </row>
    <row r="8" spans="1:6">
      <c r="A8" s="7">
        <v>1030223001</v>
      </c>
      <c r="B8" s="8" t="s">
        <v>283</v>
      </c>
      <c r="C8" s="9">
        <v>250.04</v>
      </c>
      <c r="D8" s="384">
        <v>64.465760000000003</v>
      </c>
      <c r="E8" s="9">
        <f t="shared" si="2"/>
        <v>25.78217885138378</v>
      </c>
      <c r="F8" s="9">
        <f t="shared" si="1"/>
        <v>-185.57423999999997</v>
      </c>
    </row>
    <row r="9" spans="1:6">
      <c r="A9" s="7">
        <v>1030224001</v>
      </c>
      <c r="B9" s="8" t="s">
        <v>289</v>
      </c>
      <c r="C9" s="9">
        <v>2.68</v>
      </c>
      <c r="D9" s="384">
        <v>0.43456</v>
      </c>
      <c r="E9" s="9">
        <f t="shared" si="2"/>
        <v>16.214925373134328</v>
      </c>
      <c r="F9" s="9">
        <f t="shared" si="1"/>
        <v>-2.2454400000000003</v>
      </c>
    </row>
    <row r="10" spans="1:6">
      <c r="A10" s="7">
        <v>1030225001</v>
      </c>
      <c r="B10" s="8" t="s">
        <v>282</v>
      </c>
      <c r="C10" s="9">
        <v>417.62</v>
      </c>
      <c r="D10" s="384">
        <v>105.0091</v>
      </c>
      <c r="E10" s="9">
        <f t="shared" si="2"/>
        <v>25.144653033858532</v>
      </c>
      <c r="F10" s="9">
        <f t="shared" si="1"/>
        <v>-312.61090000000002</v>
      </c>
    </row>
    <row r="11" spans="1:6">
      <c r="A11" s="7">
        <v>1030226001</v>
      </c>
      <c r="B11" s="8" t="s">
        <v>291</v>
      </c>
      <c r="C11" s="9">
        <v>0</v>
      </c>
      <c r="D11" s="384">
        <v>-13.43296</v>
      </c>
      <c r="E11" s="9" t="e">
        <f t="shared" si="2"/>
        <v>#DIV/0!</v>
      </c>
      <c r="F11" s="9">
        <f t="shared" si="1"/>
        <v>-13.43296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383">
        <f>SUM(D13:D13)</f>
        <v>1.6572</v>
      </c>
      <c r="E12" s="5">
        <f t="shared" si="0"/>
        <v>5.524</v>
      </c>
      <c r="F12" s="5">
        <f t="shared" si="1"/>
        <v>-28.3428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384">
        <v>1.6572</v>
      </c>
      <c r="E13" s="9">
        <f t="shared" si="0"/>
        <v>5.524</v>
      </c>
      <c r="F13" s="9">
        <f t="shared" si="1"/>
        <v>-28.3428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383">
        <f>D15+D16</f>
        <v>23.826979999999999</v>
      </c>
      <c r="E14" s="5">
        <f t="shared" si="0"/>
        <v>4.5384723809523813</v>
      </c>
      <c r="F14" s="5">
        <f t="shared" si="1"/>
        <v>-501.17302000000001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384">
        <v>9.9236000000000004</v>
      </c>
      <c r="E15" s="9">
        <f t="shared" si="0"/>
        <v>9.4510476190476194</v>
      </c>
      <c r="F15" s="9">
        <f>SUM(D15-C15)</f>
        <v>-95.076400000000007</v>
      </c>
    </row>
    <row r="16" spans="1:6" ht="15.75" customHeight="1">
      <c r="A16" s="7">
        <v>1060600000</v>
      </c>
      <c r="B16" s="11" t="s">
        <v>8</v>
      </c>
      <c r="C16" s="9">
        <v>420</v>
      </c>
      <c r="D16" s="384">
        <v>13.90338</v>
      </c>
      <c r="E16" s="9">
        <f t="shared" si="0"/>
        <v>3.3103285714285717</v>
      </c>
      <c r="F16" s="9">
        <f t="shared" si="1"/>
        <v>-406.09661999999997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383">
        <f>D18</f>
        <v>2.4500000000000002</v>
      </c>
      <c r="E17" s="5">
        <f t="shared" si="0"/>
        <v>30.625000000000004</v>
      </c>
      <c r="F17" s="5">
        <f t="shared" si="1"/>
        <v>-5.55</v>
      </c>
    </row>
    <row r="18" spans="1:6" ht="27" customHeight="1">
      <c r="A18" s="7">
        <v>1080400001</v>
      </c>
      <c r="B18" s="8" t="s">
        <v>272</v>
      </c>
      <c r="C18" s="9">
        <v>8</v>
      </c>
      <c r="D18" s="384">
        <v>2.4500000000000002</v>
      </c>
      <c r="E18" s="9">
        <f t="shared" si="0"/>
        <v>30.625000000000004</v>
      </c>
      <c r="F18" s="9">
        <f t="shared" si="1"/>
        <v>-5.55</v>
      </c>
    </row>
    <row r="19" spans="1:6" ht="50.25" customHeight="1">
      <c r="A19" s="7">
        <v>1080714001</v>
      </c>
      <c r="B19" s="8" t="s">
        <v>12</v>
      </c>
      <c r="C19" s="9">
        <v>0</v>
      </c>
      <c r="D19" s="384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customHeight="1">
      <c r="A20" s="68">
        <v>1090000000</v>
      </c>
      <c r="B20" s="69" t="s">
        <v>124</v>
      </c>
      <c r="C20" s="5">
        <f>C21+C22+C23+C24</f>
        <v>0</v>
      </c>
      <c r="D20" s="383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customHeight="1">
      <c r="A21" s="7">
        <v>1090100000</v>
      </c>
      <c r="B21" s="8" t="s">
        <v>125</v>
      </c>
      <c r="C21" s="5"/>
      <c r="D21" s="385"/>
      <c r="E21" s="9" t="e">
        <f t="shared" si="0"/>
        <v>#DIV/0!</v>
      </c>
      <c r="F21" s="9">
        <f t="shared" si="1"/>
        <v>0</v>
      </c>
    </row>
    <row r="22" spans="1:6" s="15" customFormat="1" ht="21.75" customHeight="1">
      <c r="A22" s="7">
        <v>1090400000</v>
      </c>
      <c r="B22" s="8" t="s">
        <v>126</v>
      </c>
      <c r="C22" s="5"/>
      <c r="D22" s="385"/>
      <c r="E22" s="9" t="e">
        <f t="shared" si="0"/>
        <v>#DIV/0!</v>
      </c>
      <c r="F22" s="9">
        <f t="shared" si="1"/>
        <v>0</v>
      </c>
    </row>
    <row r="23" spans="1:6" s="15" customFormat="1" ht="24.75" customHeight="1">
      <c r="A23" s="7">
        <v>1090600000</v>
      </c>
      <c r="B23" s="8" t="s">
        <v>127</v>
      </c>
      <c r="C23" s="5"/>
      <c r="D23" s="385"/>
      <c r="E23" s="9" t="e">
        <f t="shared" si="0"/>
        <v>#DIV/0!</v>
      </c>
      <c r="F23" s="9">
        <f t="shared" si="1"/>
        <v>0</v>
      </c>
    </row>
    <row r="24" spans="1:6" s="15" customFormat="1" ht="25.5" customHeight="1">
      <c r="A24" s="7">
        <v>1090700000</v>
      </c>
      <c r="B24" s="8" t="s">
        <v>128</v>
      </c>
      <c r="C24" s="5"/>
      <c r="D24" s="385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160</v>
      </c>
      <c r="D25" s="383">
        <f>D26+D29+D31+D34</f>
        <v>113.2311</v>
      </c>
      <c r="E25" s="5">
        <f t="shared" si="0"/>
        <v>70.769437499999995</v>
      </c>
      <c r="F25" s="5">
        <f t="shared" si="1"/>
        <v>-46.768900000000002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383">
        <f>D27+D28</f>
        <v>6</v>
      </c>
      <c r="E26" s="5">
        <f t="shared" si="0"/>
        <v>10</v>
      </c>
      <c r="F26" s="5">
        <f t="shared" si="1"/>
        <v>-54</v>
      </c>
    </row>
    <row r="27" spans="1:6">
      <c r="A27" s="16">
        <v>1110502501</v>
      </c>
      <c r="B27" s="17" t="s">
        <v>226</v>
      </c>
      <c r="C27" s="12">
        <v>0</v>
      </c>
      <c r="D27" s="384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384">
        <v>6</v>
      </c>
      <c r="E28" s="9">
        <f t="shared" si="0"/>
        <v>10</v>
      </c>
      <c r="F28" s="9">
        <f t="shared" si="1"/>
        <v>-54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100</v>
      </c>
      <c r="D29" s="383">
        <f>D30</f>
        <v>107.4712</v>
      </c>
      <c r="E29" s="5">
        <f t="shared" si="0"/>
        <v>107.47119999999998</v>
      </c>
      <c r="F29" s="5">
        <f t="shared" si="1"/>
        <v>7.4711999999999961</v>
      </c>
    </row>
    <row r="30" spans="1:6" ht="29.25" customHeight="1">
      <c r="A30" s="7">
        <v>1130206005</v>
      </c>
      <c r="B30" s="8" t="s">
        <v>15</v>
      </c>
      <c r="C30" s="9">
        <v>100</v>
      </c>
      <c r="D30" s="384">
        <v>107.4712</v>
      </c>
      <c r="E30" s="9">
        <f t="shared" si="0"/>
        <v>107.47119999999998</v>
      </c>
      <c r="F30" s="9">
        <f t="shared" si="1"/>
        <v>7.4711999999999961</v>
      </c>
    </row>
    <row r="31" spans="1:6" ht="20.25" customHeight="1">
      <c r="A31" s="70">
        <v>1140000000</v>
      </c>
      <c r="B31" s="71" t="s">
        <v>132</v>
      </c>
      <c r="C31" s="5">
        <f>C32+C33</f>
        <v>0</v>
      </c>
      <c r="D31" s="383">
        <f>D32+D33</f>
        <v>0</v>
      </c>
      <c r="E31" s="5" t="e">
        <f t="shared" si="0"/>
        <v>#DIV/0!</v>
      </c>
      <c r="F31" s="5">
        <f t="shared" si="1"/>
        <v>0</v>
      </c>
    </row>
    <row r="32" spans="1:6" ht="18" customHeight="1">
      <c r="A32" s="16">
        <v>1140200000</v>
      </c>
      <c r="B32" s="18" t="s">
        <v>133</v>
      </c>
      <c r="C32" s="9">
        <v>0</v>
      </c>
      <c r="D32" s="384">
        <v>0</v>
      </c>
      <c r="E32" s="9" t="e">
        <f t="shared" si="0"/>
        <v>#DIV/0!</v>
      </c>
      <c r="F32" s="9">
        <f t="shared" si="1"/>
        <v>0</v>
      </c>
    </row>
    <row r="33" spans="1:7" ht="17.25" customHeight="1">
      <c r="A33" s="7">
        <v>1140600000</v>
      </c>
      <c r="B33" s="8" t="s">
        <v>223</v>
      </c>
      <c r="C33" s="9">
        <v>0</v>
      </c>
      <c r="D33" s="384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383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6.5" customHeight="1">
      <c r="A35" s="7">
        <v>1170105010</v>
      </c>
      <c r="B35" s="8" t="s">
        <v>18</v>
      </c>
      <c r="C35" s="9">
        <v>0</v>
      </c>
      <c r="D35" s="386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17.25" customHeight="1">
      <c r="A36" s="7">
        <v>1170505005</v>
      </c>
      <c r="B36" s="11" t="s">
        <v>221</v>
      </c>
      <c r="C36" s="9">
        <v>0</v>
      </c>
      <c r="D36" s="384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1498.54</v>
      </c>
      <c r="D37" s="387">
        <f>D4+D25</f>
        <v>315.00083000000001</v>
      </c>
      <c r="E37" s="5">
        <f t="shared" si="0"/>
        <v>21.020515301560184</v>
      </c>
      <c r="F37" s="5">
        <f t="shared" si="1"/>
        <v>-1183.53917</v>
      </c>
    </row>
    <row r="38" spans="1:7" s="6" customFormat="1">
      <c r="A38" s="3">
        <v>2000000000</v>
      </c>
      <c r="B38" s="4" t="s">
        <v>20</v>
      </c>
      <c r="C38" s="5">
        <f>C39+C41+C42+C43+C50+C51</f>
        <v>5657.9900000000007</v>
      </c>
      <c r="D38" s="383">
        <f>D39+D41+D42+D43+D50+D51</f>
        <v>1034.0550000000001</v>
      </c>
      <c r="E38" s="5">
        <f t="shared" si="0"/>
        <v>18.276013213172877</v>
      </c>
      <c r="F38" s="5">
        <f t="shared" si="1"/>
        <v>-4623.9350000000004</v>
      </c>
      <c r="G38" s="19"/>
    </row>
    <row r="39" spans="1:7">
      <c r="A39" s="16">
        <v>2021000000</v>
      </c>
      <c r="B39" s="17" t="s">
        <v>21</v>
      </c>
      <c r="C39" s="12">
        <f>2759.4+6.529</f>
        <v>2765.9290000000001</v>
      </c>
      <c r="D39" s="388">
        <v>919.79600000000005</v>
      </c>
      <c r="E39" s="9">
        <v>0</v>
      </c>
      <c r="F39" s="9">
        <f t="shared" si="1"/>
        <v>-1846.133</v>
      </c>
    </row>
    <row r="40" spans="1:7" ht="14.25" customHeight="1">
      <c r="A40" s="16">
        <v>2020100310</v>
      </c>
      <c r="B40" s="17" t="s">
        <v>232</v>
      </c>
      <c r="C40" s="12">
        <v>0</v>
      </c>
      <c r="D40" s="388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624.97</v>
      </c>
      <c r="D41" s="388">
        <v>0</v>
      </c>
      <c r="E41" s="9">
        <f t="shared" si="0"/>
        <v>0</v>
      </c>
      <c r="F41" s="9">
        <f t="shared" si="1"/>
        <v>-624.97</v>
      </c>
    </row>
    <row r="42" spans="1:7">
      <c r="A42" s="16">
        <v>2022000000</v>
      </c>
      <c r="B42" s="17" t="s">
        <v>22</v>
      </c>
      <c r="C42" s="12">
        <v>2033.31</v>
      </c>
      <c r="D42" s="384">
        <v>0</v>
      </c>
      <c r="E42" s="9">
        <f t="shared" si="0"/>
        <v>0</v>
      </c>
      <c r="F42" s="9">
        <f t="shared" si="1"/>
        <v>-2033.31</v>
      </c>
    </row>
    <row r="43" spans="1:7" ht="17.25" customHeight="1">
      <c r="A43" s="16">
        <v>2023000000</v>
      </c>
      <c r="B43" s="17" t="s">
        <v>23</v>
      </c>
      <c r="C43" s="12">
        <v>155.68100000000001</v>
      </c>
      <c r="D43" s="389">
        <v>36.259</v>
      </c>
      <c r="E43" s="9">
        <f t="shared" si="0"/>
        <v>23.2905749577662</v>
      </c>
      <c r="F43" s="9">
        <f t="shared" si="1"/>
        <v>-119.42200000000001</v>
      </c>
    </row>
    <row r="44" spans="1:7" ht="18" customHeight="1">
      <c r="A44" s="16">
        <v>2020400000</v>
      </c>
      <c r="B44" s="17" t="s">
        <v>24</v>
      </c>
      <c r="C44" s="12"/>
      <c r="D44" s="390"/>
      <c r="E44" s="9" t="e">
        <f t="shared" si="0"/>
        <v>#DIV/0!</v>
      </c>
      <c r="F44" s="9">
        <f t="shared" si="1"/>
        <v>0</v>
      </c>
    </row>
    <row r="45" spans="1:7" ht="14.25" customHeight="1">
      <c r="A45" s="16">
        <v>2020900000</v>
      </c>
      <c r="B45" s="18" t="s">
        <v>25</v>
      </c>
      <c r="C45" s="12"/>
      <c r="D45" s="390"/>
      <c r="E45" s="9" t="e">
        <f t="shared" si="0"/>
        <v>#DIV/0!</v>
      </c>
      <c r="F45" s="9">
        <f t="shared" si="1"/>
        <v>0</v>
      </c>
    </row>
    <row r="46" spans="1:7" ht="16.5" customHeight="1">
      <c r="A46" s="124">
        <v>2180000000</v>
      </c>
      <c r="B46" s="125" t="s">
        <v>302</v>
      </c>
      <c r="C46" s="286">
        <f>C47</f>
        <v>0</v>
      </c>
      <c r="D46" s="391">
        <f>D47</f>
        <v>0</v>
      </c>
      <c r="E46" s="9" t="e">
        <f t="shared" si="0"/>
        <v>#DIV/0!</v>
      </c>
      <c r="F46" s="9">
        <f t="shared" si="1"/>
        <v>0</v>
      </c>
    </row>
    <row r="47" spans="1:7" ht="18" customHeight="1">
      <c r="A47" s="16">
        <v>2180501010</v>
      </c>
      <c r="B47" s="18" t="s">
        <v>301</v>
      </c>
      <c r="C47" s="12">
        <v>0</v>
      </c>
      <c r="D47" s="390">
        <v>0</v>
      </c>
      <c r="E47" s="9" t="e">
        <f t="shared" si="0"/>
        <v>#DIV/0!</v>
      </c>
      <c r="F47" s="9">
        <f t="shared" si="1"/>
        <v>0</v>
      </c>
    </row>
    <row r="48" spans="1:7" ht="17.25" customHeight="1">
      <c r="A48" s="7">
        <v>2190500005</v>
      </c>
      <c r="B48" s="11" t="s">
        <v>26</v>
      </c>
      <c r="C48" s="14"/>
      <c r="D48" s="385"/>
      <c r="E48" s="9" t="e">
        <f t="shared" si="0"/>
        <v>#DIV/0!</v>
      </c>
      <c r="F48" s="9">
        <f t="shared" si="1"/>
        <v>0</v>
      </c>
    </row>
    <row r="49" spans="1:7" s="6" customFormat="1" ht="15.75" customHeight="1">
      <c r="A49" s="3">
        <v>3000000000</v>
      </c>
      <c r="B49" s="13" t="s">
        <v>27</v>
      </c>
      <c r="C49" s="122">
        <v>0</v>
      </c>
      <c r="D49" s="385">
        <v>0</v>
      </c>
      <c r="E49" s="9" t="e">
        <f t="shared" si="0"/>
        <v>#DIV/0!</v>
      </c>
      <c r="F49" s="9">
        <f t="shared" si="1"/>
        <v>0</v>
      </c>
    </row>
    <row r="50" spans="1:7" s="6" customFormat="1" ht="15" customHeight="1">
      <c r="A50" s="7">
        <v>2020400000</v>
      </c>
      <c r="B50" s="8" t="s">
        <v>24</v>
      </c>
      <c r="C50" s="12">
        <v>0</v>
      </c>
      <c r="D50" s="384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384">
        <v>78</v>
      </c>
      <c r="E51" s="9">
        <f>SUM(D51/C51*100)</f>
        <v>99.871959026888618</v>
      </c>
      <c r="F51" s="9">
        <f>SUM(D51-C51)</f>
        <v>-9.9999999999994316E-2</v>
      </c>
    </row>
    <row r="52" spans="1:7" s="6" customFormat="1" ht="18" customHeight="1">
      <c r="A52" s="3"/>
      <c r="B52" s="4" t="s">
        <v>28</v>
      </c>
      <c r="C52" s="93">
        <f>C37+C38</f>
        <v>7156.5300000000007</v>
      </c>
      <c r="D52" s="93">
        <f>D37+D38</f>
        <v>1349.05583</v>
      </c>
      <c r="E52" s="5">
        <f t="shared" si="0"/>
        <v>18.850697614626082</v>
      </c>
      <c r="F52" s="5">
        <f t="shared" si="1"/>
        <v>-5807.4741700000004</v>
      </c>
      <c r="G52" s="94"/>
    </row>
    <row r="53" spans="1:7" s="6" customFormat="1">
      <c r="A53" s="3"/>
      <c r="B53" s="21" t="s">
        <v>321</v>
      </c>
      <c r="C53" s="93">
        <f>C52-C98</f>
        <v>-699.81638000000021</v>
      </c>
      <c r="D53" s="93">
        <f>D52-D98</f>
        <v>371.79313999999999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367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1254.154</v>
      </c>
      <c r="D57" s="33">
        <f>D58+D59+D60+D61+D62+D64+D63</f>
        <v>247.6799</v>
      </c>
      <c r="E57" s="34">
        <f>SUM(D57/C57*100)</f>
        <v>19.748762911093852</v>
      </c>
      <c r="F57" s="34">
        <f>SUM(D57-C57)</f>
        <v>-1006.4741</v>
      </c>
    </row>
    <row r="58" spans="1:7" s="6" customFormat="1" ht="15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1244.9290000000001</v>
      </c>
      <c r="D59" s="37">
        <v>247.6799</v>
      </c>
      <c r="E59" s="38">
        <f t="shared" ref="E59:E98" si="3">SUM(D59/C59*100)</f>
        <v>19.895102451625753</v>
      </c>
      <c r="F59" s="38">
        <f t="shared" ref="F59:F98" si="4">SUM(D59-C59)</f>
        <v>-997.24910000000011</v>
      </c>
    </row>
    <row r="60" spans="1:7" ht="15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4.25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4.2249999999999996</v>
      </c>
      <c r="D64" s="37">
        <v>0</v>
      </c>
      <c r="E64" s="38">
        <f t="shared" si="3"/>
        <v>0</v>
      </c>
      <c r="F64" s="38">
        <f t="shared" si="4"/>
        <v>-4.2249999999999996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150.881</v>
      </c>
      <c r="D65" s="32">
        <f>D66</f>
        <v>27.911999999999999</v>
      </c>
      <c r="E65" s="34">
        <f t="shared" si="3"/>
        <v>18.49934716763542</v>
      </c>
      <c r="F65" s="34">
        <f t="shared" si="4"/>
        <v>-122.96899999999999</v>
      </c>
    </row>
    <row r="66" spans="1:7">
      <c r="A66" s="43" t="s">
        <v>48</v>
      </c>
      <c r="B66" s="44" t="s">
        <v>49</v>
      </c>
      <c r="C66" s="37">
        <v>150.881</v>
      </c>
      <c r="D66" s="37">
        <v>27.911999999999999</v>
      </c>
      <c r="E66" s="38">
        <f t="shared" si="3"/>
        <v>18.49934716763542</v>
      </c>
      <c r="F66" s="38">
        <f t="shared" si="4"/>
        <v>-122.96899999999999</v>
      </c>
    </row>
    <row r="67" spans="1:7" s="6" customForma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1425.7813799999999</v>
      </c>
      <c r="D72" s="48">
        <f>SUM(D73:D76)</f>
        <v>167.82599999999999</v>
      </c>
      <c r="E72" s="34">
        <f t="shared" si="3"/>
        <v>11.770808789773927</v>
      </c>
      <c r="F72" s="34">
        <f t="shared" si="4"/>
        <v>-1257.9553799999999</v>
      </c>
    </row>
    <row r="73" spans="1:7" ht="17.25" customHeight="1">
      <c r="A73" s="35" t="s">
        <v>60</v>
      </c>
      <c r="B73" s="39" t="s">
        <v>61</v>
      </c>
      <c r="C73" s="49">
        <f>4.8+12.7</f>
        <v>17.5</v>
      </c>
      <c r="D73" s="37">
        <v>0</v>
      </c>
      <c r="E73" s="38">
        <f t="shared" si="3"/>
        <v>0</v>
      </c>
      <c r="F73" s="38">
        <f t="shared" si="4"/>
        <v>-17.5</v>
      </c>
    </row>
    <row r="74" spans="1:7" s="6" customFormat="1" ht="19.5" customHeight="1">
      <c r="A74" s="35" t="s">
        <v>62</v>
      </c>
      <c r="B74" s="39" t="s">
        <v>63</v>
      </c>
      <c r="C74" s="49">
        <v>150</v>
      </c>
      <c r="D74" s="37">
        <v>40</v>
      </c>
      <c r="E74" s="38">
        <f t="shared" si="3"/>
        <v>26.666666666666668</v>
      </c>
      <c r="F74" s="38">
        <f t="shared" si="4"/>
        <v>-110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127.82599999999999</v>
      </c>
      <c r="E75" s="38">
        <f t="shared" si="3"/>
        <v>10.579158308307292</v>
      </c>
      <c r="F75" s="38">
        <f t="shared" si="4"/>
        <v>-1080.4553799999999</v>
      </c>
    </row>
    <row r="76" spans="1:7">
      <c r="A76" s="35" t="s">
        <v>66</v>
      </c>
      <c r="B76" s="39" t="s">
        <v>67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>
      <c r="A77" s="30" t="s">
        <v>68</v>
      </c>
      <c r="B77" s="31" t="s">
        <v>69</v>
      </c>
      <c r="C77" s="32">
        <f>SUM(C78:C80)</f>
        <v>691.77499999999998</v>
      </c>
      <c r="D77" s="32">
        <f>SUM(D78:D80)</f>
        <v>42.909579999999998</v>
      </c>
      <c r="E77" s="34">
        <f t="shared" si="3"/>
        <v>6.202823172274222</v>
      </c>
      <c r="F77" s="34">
        <f t="shared" si="4"/>
        <v>-648.86541999999997</v>
      </c>
    </row>
    <row r="78" spans="1:7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f>110+181.275+10+390.5</f>
        <v>691.77499999999998</v>
      </c>
      <c r="D80" s="37">
        <v>42.909579999999998</v>
      </c>
      <c r="E80" s="38">
        <f t="shared" si="3"/>
        <v>6.202823172274222</v>
      </c>
      <c r="F80" s="38">
        <f t="shared" si="4"/>
        <v>-648.86541999999997</v>
      </c>
    </row>
    <row r="81" spans="1:6" s="6" customFormat="1">
      <c r="A81" s="30" t="s">
        <v>86</v>
      </c>
      <c r="B81" s="31" t="s">
        <v>87</v>
      </c>
      <c r="C81" s="32">
        <f>C82</f>
        <v>4326.7550000000001</v>
      </c>
      <c r="D81" s="32">
        <f>SUM(D82)</f>
        <v>490.93520999999998</v>
      </c>
      <c r="E81" s="34">
        <f t="shared" si="3"/>
        <v>11.346498935114189</v>
      </c>
      <c r="F81" s="34">
        <f t="shared" si="4"/>
        <v>-3835.81979</v>
      </c>
    </row>
    <row r="82" spans="1:6" ht="18" customHeight="1">
      <c r="A82" s="35" t="s">
        <v>88</v>
      </c>
      <c r="B82" s="39" t="s">
        <v>234</v>
      </c>
      <c r="C82" s="37">
        <v>4326.7550000000001</v>
      </c>
      <c r="D82" s="37">
        <v>490.93520999999998</v>
      </c>
      <c r="E82" s="38">
        <f t="shared" si="3"/>
        <v>11.346498935114189</v>
      </c>
      <c r="F82" s="38">
        <f t="shared" si="4"/>
        <v>-3835.81979</v>
      </c>
    </row>
    <row r="83" spans="1:6" s="6" customFormat="1" ht="15.75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0</v>
      </c>
      <c r="E88" s="38"/>
      <c r="F88" s="22">
        <f>F89+F90+F91+F92+F93</f>
        <v>-4</v>
      </c>
    </row>
    <row r="89" spans="1:6" ht="20.25" customHeight="1">
      <c r="A89" s="35" t="s">
        <v>97</v>
      </c>
      <c r="B89" s="39" t="s">
        <v>98</v>
      </c>
      <c r="C89" s="37">
        <v>4</v>
      </c>
      <c r="D89" s="37">
        <v>0</v>
      </c>
      <c r="E89" s="38"/>
      <c r="F89" s="38">
        <f>SUM(D89-C89)</f>
        <v>-4</v>
      </c>
    </row>
    <row r="90" spans="1:6" ht="1.5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customHeight="1">
      <c r="A94" s="52">
        <v>1400</v>
      </c>
      <c r="B94" s="56" t="s">
        <v>115</v>
      </c>
      <c r="C94" s="48">
        <f>C95+C96+C97</f>
        <v>0</v>
      </c>
      <c r="D94" s="24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33">
        <f>C57+C65+C67+C72+C77+C81+C88+C83</f>
        <v>7856.3463800000009</v>
      </c>
      <c r="D98" s="33">
        <f>D57+D65+D67+D72+D77+D81+D88+D83</f>
        <v>977.26269000000002</v>
      </c>
      <c r="E98" s="34">
        <f t="shared" si="3"/>
        <v>12.439149736165273</v>
      </c>
      <c r="F98" s="34">
        <f t="shared" si="4"/>
        <v>-6879.0836900000013</v>
      </c>
    </row>
    <row r="99" spans="1:6">
      <c r="D99" s="246"/>
    </row>
    <row r="100" spans="1:6" s="65" customFormat="1" ht="18" customHeight="1">
      <c r="A100" s="63" t="s">
        <v>120</v>
      </c>
      <c r="B100" s="63"/>
      <c r="C100" s="131"/>
      <c r="D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  <row r="141" hidden="1"/>
  </sheetData>
  <customSheetViews>
    <customSheetView guid="{A54C432C-6C68-4B53-A75C-446EB3A61B2B}" scale="70" showPageBreaks="1" hiddenRows="1" view="pageBreakPreview" topLeftCell="A62">
      <selection activeCell="C141" sqref="C141:D141"/>
      <pageMargins left="0.7" right="0.7" top="0.75" bottom="0.75" header="0.3" footer="0.3"/>
      <pageSetup paperSize="9" scale="52" orientation="portrait" r:id="rId1"/>
    </customSheetView>
    <customSheetView guid="{5BFCA170-DEAE-4D2C-98A0-1E68B427AC01}" scale="70" showPageBreaks="1" hiddenRows="1" view="pageBreakPreview" topLeftCell="A34">
      <selection activeCell="C98" sqref="C98:D98"/>
      <pageMargins left="0.7" right="0.7" top="0.75" bottom="0.75" header="0.3" footer="0.3"/>
      <pageSetup paperSize="9" scale="52" orientation="portrait" r:id="rId2"/>
    </customSheetView>
    <customSheetView guid="{42584DC0-1D41-4C93-9B38-C388E7B8DAC4}" scale="70" showPageBreaks="1" hiddenRows="1" view="pageBreakPreview">
      <selection activeCell="C141" sqref="C141:D141"/>
      <pageMargins left="0.7" right="0.7" top="0.75" bottom="0.75" header="0.3" footer="0.3"/>
      <pageSetup paperSize="9" scale="52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2" orientation="portrait" r:id="rId4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437" t="s">
        <v>371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2455.75</v>
      </c>
      <c r="D4" s="5">
        <f>D5+D12+D14+D17+D7</f>
        <v>295.01838000000004</v>
      </c>
      <c r="E4" s="5">
        <f>SUM(D4/C4*100)</f>
        <v>12.013371882317013</v>
      </c>
      <c r="F4" s="5">
        <f>SUM(D4-C4)</f>
        <v>-2160.73162</v>
      </c>
    </row>
    <row r="5" spans="1:6" s="6" customFormat="1">
      <c r="A5" s="68">
        <v>1010000000</v>
      </c>
      <c r="B5" s="67" t="s">
        <v>6</v>
      </c>
      <c r="C5" s="5">
        <f>C6</f>
        <v>91.5</v>
      </c>
      <c r="D5" s="5">
        <f>D6</f>
        <v>32.005650000000003</v>
      </c>
      <c r="E5" s="5">
        <f t="shared" ref="E5:E51" si="0">SUM(D5/C5*100)</f>
        <v>34.978852459016395</v>
      </c>
      <c r="F5" s="5">
        <f t="shared" ref="F5:F51" si="1">SUM(D5-C5)</f>
        <v>-59.494349999999997</v>
      </c>
    </row>
    <row r="6" spans="1:6">
      <c r="A6" s="7">
        <v>1010200001</v>
      </c>
      <c r="B6" s="8" t="s">
        <v>229</v>
      </c>
      <c r="C6" s="9">
        <v>91.5</v>
      </c>
      <c r="D6" s="10">
        <v>32.005650000000003</v>
      </c>
      <c r="E6" s="9">
        <f t="shared" ref="E6:E11" si="2">SUM(D6/C6*100)</f>
        <v>34.978852459016395</v>
      </c>
      <c r="F6" s="9">
        <f t="shared" si="1"/>
        <v>-59.494349999999997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170.92806000000002</v>
      </c>
      <c r="E7" s="5">
        <f t="shared" si="2"/>
        <v>23.342855582109941</v>
      </c>
      <c r="F7" s="5">
        <f t="shared" si="1"/>
        <v>-561.32193999999981</v>
      </c>
    </row>
    <row r="8" spans="1:6">
      <c r="A8" s="7">
        <v>1030223001</v>
      </c>
      <c r="B8" s="8" t="s">
        <v>283</v>
      </c>
      <c r="C8" s="9">
        <v>273.13</v>
      </c>
      <c r="D8" s="10">
        <v>70.419589999999999</v>
      </c>
      <c r="E8" s="9">
        <f t="shared" si="2"/>
        <v>25.782444257313369</v>
      </c>
      <c r="F8" s="9">
        <f t="shared" si="1"/>
        <v>-202.71041</v>
      </c>
    </row>
    <row r="9" spans="1:6">
      <c r="A9" s="7">
        <v>1030224001</v>
      </c>
      <c r="B9" s="8" t="s">
        <v>289</v>
      </c>
      <c r="C9" s="9">
        <v>2.93</v>
      </c>
      <c r="D9" s="10">
        <v>0.47470000000000001</v>
      </c>
      <c r="E9" s="9">
        <f t="shared" si="2"/>
        <v>16.201365187713311</v>
      </c>
      <c r="F9" s="9">
        <f t="shared" si="1"/>
        <v>-2.4553000000000003</v>
      </c>
    </row>
    <row r="10" spans="1:6">
      <c r="A10" s="7">
        <v>1030225001</v>
      </c>
      <c r="B10" s="8" t="s">
        <v>282</v>
      </c>
      <c r="C10" s="9">
        <v>456.19</v>
      </c>
      <c r="D10" s="10">
        <v>114.70737</v>
      </c>
      <c r="E10" s="9">
        <f t="shared" si="2"/>
        <v>25.144648063306956</v>
      </c>
      <c r="F10" s="9">
        <f>SUM(D10-C10)</f>
        <v>-341.48262999999997</v>
      </c>
    </row>
    <row r="11" spans="1:6">
      <c r="A11" s="7">
        <v>1030226001</v>
      </c>
      <c r="B11" s="8" t="s">
        <v>291</v>
      </c>
      <c r="C11" s="9">
        <v>0</v>
      </c>
      <c r="D11" s="10">
        <v>-14.6736</v>
      </c>
      <c r="E11" s="9" t="e">
        <f t="shared" si="2"/>
        <v>#DIV/0!</v>
      </c>
      <c r="F11" s="9">
        <f>SUM(D11-C11)</f>
        <v>-14.6736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1.9005000000000001</v>
      </c>
      <c r="E12" s="5">
        <f t="shared" si="0"/>
        <v>12.67</v>
      </c>
      <c r="F12" s="5">
        <f t="shared" si="1"/>
        <v>-13.099499999999999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1.9005000000000001</v>
      </c>
      <c r="E13" s="9">
        <f t="shared" si="0"/>
        <v>12.67</v>
      </c>
      <c r="F13" s="9">
        <f t="shared" si="1"/>
        <v>-13.099499999999999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1605</v>
      </c>
      <c r="D14" s="5">
        <f>D15+D16</f>
        <v>86.434170000000009</v>
      </c>
      <c r="E14" s="5">
        <f t="shared" si="0"/>
        <v>5.3853065420560755</v>
      </c>
      <c r="F14" s="5">
        <f t="shared" si="1"/>
        <v>-1518.56583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7.97525</v>
      </c>
      <c r="E15" s="9">
        <f t="shared" si="0"/>
        <v>5.1453225806451615</v>
      </c>
      <c r="F15" s="9">
        <f>SUM(D15-C15)</f>
        <v>-147.02475000000001</v>
      </c>
    </row>
    <row r="16" spans="1:6" ht="15.75" customHeight="1">
      <c r="A16" s="7">
        <v>1060600000</v>
      </c>
      <c r="B16" s="11" t="s">
        <v>8</v>
      </c>
      <c r="C16" s="9">
        <v>1450</v>
      </c>
      <c r="D16" s="10">
        <v>78.458920000000006</v>
      </c>
      <c r="E16" s="9">
        <f t="shared" si="0"/>
        <v>5.4109600000000011</v>
      </c>
      <c r="F16" s="9">
        <f t="shared" si="1"/>
        <v>-1371.54108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3.75</v>
      </c>
      <c r="E17" s="5">
        <f t="shared" si="0"/>
        <v>31.25</v>
      </c>
      <c r="F17" s="5">
        <f t="shared" si="1"/>
        <v>-8.25</v>
      </c>
    </row>
    <row r="18" spans="1:6">
      <c r="A18" s="7">
        <v>1080400001</v>
      </c>
      <c r="B18" s="8" t="s">
        <v>228</v>
      </c>
      <c r="C18" s="9">
        <v>12</v>
      </c>
      <c r="D18" s="10">
        <v>3.75</v>
      </c>
      <c r="E18" s="9">
        <f t="shared" si="0"/>
        <v>31.25</v>
      </c>
      <c r="F18" s="9">
        <f t="shared" si="1"/>
        <v>-8.25</v>
      </c>
    </row>
    <row r="19" spans="1:6" ht="47.2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C26+C29+C31+C36+C34</f>
        <v>35</v>
      </c>
      <c r="D25" s="5">
        <f>D26+D29+D31+D36+D34</f>
        <v>4.2285500000000003</v>
      </c>
      <c r="E25" s="5">
        <f t="shared" si="0"/>
        <v>12.081571428571429</v>
      </c>
      <c r="F25" s="5">
        <f t="shared" si="1"/>
        <v>-30.771450000000002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35</v>
      </c>
      <c r="D26" s="5">
        <f>D27+D28</f>
        <v>4.2715300000000003</v>
      </c>
      <c r="E26" s="5">
        <f t="shared" si="0"/>
        <v>12.204371428571429</v>
      </c>
      <c r="F26" s="5">
        <f t="shared" si="1"/>
        <v>-30.728470000000002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4.2715300000000003</v>
      </c>
      <c r="E27" s="9">
        <f t="shared" si="0"/>
        <v>14.238433333333333</v>
      </c>
      <c r="F27" s="9">
        <f t="shared" si="1"/>
        <v>-25.728470000000002</v>
      </c>
    </row>
    <row r="28" spans="1:6" ht="21.75" customHeight="1">
      <c r="A28" s="7">
        <v>1110503510</v>
      </c>
      <c r="B28" s="11" t="s">
        <v>225</v>
      </c>
      <c r="C28" s="12">
        <v>5</v>
      </c>
      <c r="D28" s="10">
        <v>0</v>
      </c>
      <c r="E28" s="9">
        <f t="shared" si="0"/>
        <v>0</v>
      </c>
      <c r="F28" s="9">
        <f t="shared" si="1"/>
        <v>-5</v>
      </c>
    </row>
    <row r="29" spans="1:6" s="15" customFormat="1" ht="35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.75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7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0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0.25" customHeight="1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>SUM(D34/C34*100)</f>
        <v>#DIV/0!</v>
      </c>
      <c r="F34" s="5">
        <f>SUM(D34-C34)</f>
        <v>0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8" customHeight="1">
      <c r="A36" s="3">
        <v>1170000000</v>
      </c>
      <c r="B36" s="13" t="s">
        <v>135</v>
      </c>
      <c r="C36" s="5">
        <f>C37+C38</f>
        <v>0</v>
      </c>
      <c r="D36" s="5">
        <f>D37+D38</f>
        <v>-4.2979999999999997E-2</v>
      </c>
      <c r="E36" s="5" t="e">
        <f t="shared" si="0"/>
        <v>#DIV/0!</v>
      </c>
      <c r="F36" s="5">
        <f t="shared" si="1"/>
        <v>-4.2979999999999997E-2</v>
      </c>
    </row>
    <row r="37" spans="1:7" ht="24" customHeight="1">
      <c r="A37" s="7">
        <v>1170105010</v>
      </c>
      <c r="B37" s="8" t="s">
        <v>18</v>
      </c>
      <c r="C37" s="9">
        <v>0</v>
      </c>
      <c r="D37" s="9">
        <v>-4.2979999999999997E-2</v>
      </c>
      <c r="E37" s="9" t="e">
        <f t="shared" si="0"/>
        <v>#DIV/0!</v>
      </c>
      <c r="F37" s="9">
        <f t="shared" si="1"/>
        <v>-4.2979999999999997E-2</v>
      </c>
    </row>
    <row r="38" spans="1:7" ht="15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2490.75</v>
      </c>
      <c r="D39" s="127">
        <f>D4+D25</f>
        <v>299.24693000000002</v>
      </c>
      <c r="E39" s="5">
        <f t="shared" si="0"/>
        <v>12.014330221820737</v>
      </c>
      <c r="F39" s="5">
        <f t="shared" si="1"/>
        <v>-2191.5030699999998</v>
      </c>
    </row>
    <row r="40" spans="1:7" s="6" customFormat="1">
      <c r="A40" s="3">
        <v>2000000000</v>
      </c>
      <c r="B40" s="4" t="s">
        <v>20</v>
      </c>
      <c r="C40" s="5">
        <f>C41+C43+C44+C46+C47+C48+C42+C50</f>
        <v>5274.6039999999994</v>
      </c>
      <c r="D40" s="5">
        <f>D41+D43+D44+D46+D47+D48+D42+D50</f>
        <v>1136.3229999999999</v>
      </c>
      <c r="E40" s="5">
        <f t="shared" si="0"/>
        <v>21.543285524373015</v>
      </c>
      <c r="F40" s="5">
        <f t="shared" si="1"/>
        <v>-4138.280999999999</v>
      </c>
      <c r="G40" s="19"/>
    </row>
    <row r="41" spans="1:7" ht="17.25" customHeight="1">
      <c r="A41" s="16">
        <v>2021000000</v>
      </c>
      <c r="B41" s="17" t="s">
        <v>21</v>
      </c>
      <c r="C41" s="12">
        <v>1793.3240000000001</v>
      </c>
      <c r="D41" s="20">
        <v>589.06399999999996</v>
      </c>
      <c r="E41" s="9">
        <f t="shared" si="0"/>
        <v>32.847605898320658</v>
      </c>
      <c r="F41" s="9">
        <f t="shared" si="1"/>
        <v>-1204.2600000000002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22</v>
      </c>
      <c r="C43" s="12">
        <v>2815.8</v>
      </c>
      <c r="D43" s="10">
        <v>0</v>
      </c>
      <c r="E43" s="9">
        <f t="shared" si="0"/>
        <v>0</v>
      </c>
      <c r="F43" s="9">
        <f t="shared" si="1"/>
        <v>-2815.8</v>
      </c>
    </row>
    <row r="44" spans="1:7" ht="18" customHeight="1">
      <c r="A44" s="16">
        <v>2023000000</v>
      </c>
      <c r="B44" s="17" t="s">
        <v>23</v>
      </c>
      <c r="C44" s="12">
        <v>154.47999999999999</v>
      </c>
      <c r="D44" s="252">
        <v>36.259</v>
      </c>
      <c r="E44" s="9">
        <f t="shared" si="0"/>
        <v>23.471646815121698</v>
      </c>
      <c r="F44" s="9">
        <f t="shared" si="1"/>
        <v>-118.22099999999999</v>
      </c>
    </row>
    <row r="45" spans="1:7" ht="15" customHeight="1">
      <c r="A45" s="16">
        <v>2070503010</v>
      </c>
      <c r="B45" s="17" t="s">
        <v>271</v>
      </c>
      <c r="C45" s="12">
        <v>0</v>
      </c>
      <c r="D45" s="252">
        <v>0</v>
      </c>
      <c r="E45" s="9" t="e">
        <f t="shared" si="0"/>
        <v>#DIV/0!</v>
      </c>
      <c r="F45" s="9">
        <f t="shared" si="1"/>
        <v>0</v>
      </c>
    </row>
    <row r="46" spans="1:7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31.5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31.5">
      <c r="A49" s="3">
        <v>3000000000</v>
      </c>
      <c r="B49" s="13" t="s">
        <v>27</v>
      </c>
      <c r="C49" s="122">
        <v>0</v>
      </c>
      <c r="D49" s="121">
        <v>0</v>
      </c>
      <c r="E49" s="5" t="e">
        <f t="shared" si="0"/>
        <v>#DIV/0!</v>
      </c>
      <c r="F49" s="5">
        <f t="shared" si="1"/>
        <v>0</v>
      </c>
    </row>
    <row r="50" spans="1:7" s="6" customFormat="1">
      <c r="A50" s="7">
        <v>2070502010</v>
      </c>
      <c r="B50" s="8" t="s">
        <v>303</v>
      </c>
      <c r="C50" s="366">
        <v>511</v>
      </c>
      <c r="D50" s="367">
        <v>511</v>
      </c>
      <c r="E50" s="9">
        <f t="shared" si="0"/>
        <v>100</v>
      </c>
      <c r="F50" s="9">
        <f t="shared" si="1"/>
        <v>0</v>
      </c>
    </row>
    <row r="51" spans="1:7" s="6" customFormat="1">
      <c r="A51" s="3"/>
      <c r="B51" s="4" t="s">
        <v>28</v>
      </c>
      <c r="C51" s="93">
        <f>SUM(C39,C40,C49)</f>
        <v>7765.3539999999994</v>
      </c>
      <c r="D51" s="379">
        <f>D39+D40</f>
        <v>1435.5699299999999</v>
      </c>
      <c r="E51" s="5">
        <f t="shared" si="0"/>
        <v>18.486857521241141</v>
      </c>
      <c r="F51" s="5">
        <f t="shared" si="1"/>
        <v>-6329.7840699999997</v>
      </c>
      <c r="G51" s="94"/>
    </row>
    <row r="52" spans="1:7" s="6" customFormat="1">
      <c r="A52" s="3"/>
      <c r="B52" s="21" t="s">
        <v>321</v>
      </c>
      <c r="C52" s="93">
        <f>C51-C97</f>
        <v>-2147.5853299999999</v>
      </c>
      <c r="D52" s="93">
        <f>D51-D97</f>
        <v>210.94943999999987</v>
      </c>
      <c r="E52" s="22"/>
      <c r="F52" s="22"/>
    </row>
    <row r="53" spans="1:7" ht="32.25" customHeight="1">
      <c r="A53" s="23"/>
      <c r="B53" s="24"/>
      <c r="C53" s="248"/>
      <c r="D53" s="25"/>
      <c r="E53" s="26"/>
      <c r="F53" s="27"/>
    </row>
    <row r="54" spans="1:7" ht="63">
      <c r="A54" s="28" t="s">
        <v>1</v>
      </c>
      <c r="B54" s="28" t="s">
        <v>29</v>
      </c>
      <c r="C54" s="72" t="s">
        <v>346</v>
      </c>
      <c r="D54" s="73" t="s">
        <v>360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1278.6490000000001</v>
      </c>
      <c r="D56" s="33">
        <f>D57+D58+D59+D60+D61+D63+D62</f>
        <v>291.74446</v>
      </c>
      <c r="E56" s="34">
        <f>SUM(D56/C56*100)</f>
        <v>22.816618164953788</v>
      </c>
      <c r="F56" s="34">
        <f>SUM(D56-C56)</f>
        <v>-986.90454000000011</v>
      </c>
    </row>
    <row r="57" spans="1:7" s="6" customFormat="1" ht="31.5">
      <c r="A57" s="35" t="s">
        <v>32</v>
      </c>
      <c r="B57" s="36" t="s">
        <v>33</v>
      </c>
      <c r="C57" s="37"/>
      <c r="D57" s="37"/>
      <c r="E57" s="38"/>
      <c r="F57" s="38"/>
    </row>
    <row r="58" spans="1:7" ht="15" customHeight="1">
      <c r="A58" s="35" t="s">
        <v>34</v>
      </c>
      <c r="B58" s="39" t="s">
        <v>35</v>
      </c>
      <c r="C58" s="37">
        <v>1255.8240000000001</v>
      </c>
      <c r="D58" s="37">
        <v>286.29446000000002</v>
      </c>
      <c r="E58" s="38">
        <f t="shared" ref="E58:E97" si="3">SUM(D58/C58*100)</f>
        <v>22.797339436099325</v>
      </c>
      <c r="F58" s="38">
        <f t="shared" ref="F58:F97" si="4">SUM(D58-C58)</f>
        <v>-969.52954</v>
      </c>
    </row>
    <row r="59" spans="1:7" ht="16.5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" customHeight="1">
      <c r="A63" s="35" t="s">
        <v>44</v>
      </c>
      <c r="B63" s="39" t="s">
        <v>45</v>
      </c>
      <c r="C63" s="37">
        <v>17.824999999999999</v>
      </c>
      <c r="D63" s="37">
        <v>5.45</v>
      </c>
      <c r="E63" s="38">
        <f t="shared" si="3"/>
        <v>30.57503506311361</v>
      </c>
      <c r="F63" s="38">
        <f t="shared" si="4"/>
        <v>-12.375</v>
      </c>
    </row>
    <row r="64" spans="1:7" s="6" customFormat="1">
      <c r="A64" s="41" t="s">
        <v>46</v>
      </c>
      <c r="B64" s="42" t="s">
        <v>47</v>
      </c>
      <c r="C64" s="32">
        <f>C65</f>
        <v>150.88</v>
      </c>
      <c r="D64" s="32">
        <f>D65</f>
        <v>28.712</v>
      </c>
      <c r="E64" s="34">
        <f t="shared" si="3"/>
        <v>19.029692470837752</v>
      </c>
      <c r="F64" s="34">
        <f t="shared" si="4"/>
        <v>-122.16799999999999</v>
      </c>
    </row>
    <row r="65" spans="1:7">
      <c r="A65" s="43" t="s">
        <v>48</v>
      </c>
      <c r="B65" s="44" t="s">
        <v>49</v>
      </c>
      <c r="C65" s="37">
        <v>150.88</v>
      </c>
      <c r="D65" s="37">
        <v>28.712</v>
      </c>
      <c r="E65" s="38">
        <f t="shared" si="3"/>
        <v>19.029692470837752</v>
      </c>
      <c r="F65" s="38">
        <f t="shared" si="4"/>
        <v>-122.16799999999999</v>
      </c>
    </row>
    <row r="66" spans="1:7" s="6" customFormat="1" ht="18" customHeight="1">
      <c r="A66" s="30" t="s">
        <v>50</v>
      </c>
      <c r="B66" s="31" t="s">
        <v>51</v>
      </c>
      <c r="C66" s="32">
        <f>C70+C69</f>
        <v>10</v>
      </c>
      <c r="D66" s="32">
        <f>D70+D69</f>
        <v>4.1749999999999998</v>
      </c>
      <c r="E66" s="34">
        <f t="shared" si="3"/>
        <v>41.75</v>
      </c>
      <c r="F66" s="34">
        <f t="shared" si="4"/>
        <v>-5.8250000000000002</v>
      </c>
    </row>
    <row r="67" spans="1:7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8</v>
      </c>
      <c r="D70" s="37">
        <v>4.1749999999999998</v>
      </c>
      <c r="E70" s="34">
        <f t="shared" si="3"/>
        <v>52.1875</v>
      </c>
      <c r="F70" s="34">
        <f t="shared" si="4"/>
        <v>-3.8250000000000002</v>
      </c>
    </row>
    <row r="71" spans="1:7" s="6" customFormat="1" ht="24" customHeight="1">
      <c r="A71" s="30" t="s">
        <v>58</v>
      </c>
      <c r="B71" s="31" t="s">
        <v>59</v>
      </c>
      <c r="C71" s="48">
        <f>C72+C73+C74+C75</f>
        <v>5071.0703299999996</v>
      </c>
      <c r="D71" s="48">
        <f>SUM(D72:D75)</f>
        <v>226.29202000000001</v>
      </c>
      <c r="E71" s="34">
        <f t="shared" si="3"/>
        <v>4.4624113899836217</v>
      </c>
      <c r="F71" s="34">
        <f t="shared" si="4"/>
        <v>-4844.7783099999997</v>
      </c>
    </row>
    <row r="72" spans="1:7" ht="18.75" customHeight="1">
      <c r="A72" s="35" t="s">
        <v>60</v>
      </c>
      <c r="B72" s="39" t="s">
        <v>61</v>
      </c>
      <c r="C72" s="49">
        <v>13.75</v>
      </c>
      <c r="D72" s="37">
        <v>0</v>
      </c>
      <c r="E72" s="38">
        <f t="shared" si="3"/>
        <v>0</v>
      </c>
      <c r="F72" s="38">
        <f t="shared" si="4"/>
        <v>-13.75</v>
      </c>
    </row>
    <row r="73" spans="1:7" s="6" customFormat="1" ht="20.25" customHeight="1">
      <c r="A73" s="35" t="s">
        <v>62</v>
      </c>
      <c r="B73" s="39" t="s">
        <v>63</v>
      </c>
      <c r="C73" s="49">
        <v>400.35199999999998</v>
      </c>
      <c r="D73" s="37">
        <v>50</v>
      </c>
      <c r="E73" s="38">
        <f t="shared" si="3"/>
        <v>12.489009671489089</v>
      </c>
      <c r="F73" s="38">
        <f t="shared" si="4"/>
        <v>-350.35199999999998</v>
      </c>
      <c r="G73" s="50"/>
    </row>
    <row r="74" spans="1:7" ht="20.25" customHeight="1">
      <c r="A74" s="35" t="s">
        <v>64</v>
      </c>
      <c r="B74" s="39" t="s">
        <v>65</v>
      </c>
      <c r="C74" s="49">
        <v>4502.9683299999997</v>
      </c>
      <c r="D74" s="37">
        <v>168.79202000000001</v>
      </c>
      <c r="E74" s="38">
        <f t="shared" si="3"/>
        <v>3.7484611844916089</v>
      </c>
      <c r="F74" s="38">
        <f t="shared" si="4"/>
        <v>-4334.1763099999998</v>
      </c>
    </row>
    <row r="75" spans="1:7">
      <c r="A75" s="35" t="s">
        <v>66</v>
      </c>
      <c r="B75" s="39" t="s">
        <v>67</v>
      </c>
      <c r="C75" s="49">
        <f>65+89</f>
        <v>154</v>
      </c>
      <c r="D75" s="37">
        <v>7.5</v>
      </c>
      <c r="E75" s="38">
        <f t="shared" si="3"/>
        <v>4.8701298701298708</v>
      </c>
      <c r="F75" s="38">
        <f t="shared" si="4"/>
        <v>-146.5</v>
      </c>
    </row>
    <row r="76" spans="1:7" s="6" customFormat="1" ht="17.25" customHeight="1">
      <c r="A76" s="30" t="s">
        <v>68</v>
      </c>
      <c r="B76" s="31" t="s">
        <v>69</v>
      </c>
      <c r="C76" s="32">
        <f>SUM(C77:C79)</f>
        <v>476.375</v>
      </c>
      <c r="D76" s="32">
        <f>SUM(D77:D79)</f>
        <v>38.29701</v>
      </c>
      <c r="E76" s="34">
        <f t="shared" si="3"/>
        <v>8.0392568879559168</v>
      </c>
      <c r="F76" s="34">
        <f t="shared" si="4"/>
        <v>-438.07799</v>
      </c>
    </row>
    <row r="77" spans="1:7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476.375</v>
      </c>
      <c r="D79" s="37">
        <v>38.29701</v>
      </c>
      <c r="E79" s="38">
        <f>SUM(D79/C79*100)</f>
        <v>8.0392568879559168</v>
      </c>
      <c r="F79" s="38">
        <f t="shared" si="4"/>
        <v>-438.07799</v>
      </c>
    </row>
    <row r="80" spans="1:7" s="6" customFormat="1">
      <c r="A80" s="30" t="s">
        <v>86</v>
      </c>
      <c r="B80" s="31" t="s">
        <v>87</v>
      </c>
      <c r="C80" s="32">
        <f>C81</f>
        <v>2866.9650000000001</v>
      </c>
      <c r="D80" s="32">
        <f>D81</f>
        <v>625.4</v>
      </c>
      <c r="E80" s="34">
        <f t="shared" si="3"/>
        <v>21.814008890935185</v>
      </c>
      <c r="F80" s="34">
        <f t="shared" si="4"/>
        <v>-2241.5650000000001</v>
      </c>
    </row>
    <row r="81" spans="1:6" ht="15" customHeight="1">
      <c r="A81" s="35" t="s">
        <v>88</v>
      </c>
      <c r="B81" s="39" t="s">
        <v>234</v>
      </c>
      <c r="C81" s="37">
        <v>2866.9650000000001</v>
      </c>
      <c r="D81" s="37">
        <v>625.4</v>
      </c>
      <c r="E81" s="38">
        <f t="shared" si="3"/>
        <v>21.814008890935185</v>
      </c>
      <c r="F81" s="38">
        <f t="shared" si="4"/>
        <v>-2241.5650000000001</v>
      </c>
    </row>
    <row r="82" spans="1:6" s="6" customFormat="1" ht="0.75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5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5.75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customHeight="1">
      <c r="A86" s="35" t="s">
        <v>93</v>
      </c>
      <c r="B86" s="39" t="s">
        <v>94</v>
      </c>
      <c r="C86" s="37"/>
      <c r="D86" s="37"/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59</v>
      </c>
      <c r="D87" s="32">
        <f>D88+D89+D90+D91+D92</f>
        <v>10</v>
      </c>
      <c r="E87" s="38">
        <f t="shared" si="3"/>
        <v>16.949152542372879</v>
      </c>
      <c r="F87" s="22">
        <f>F88+F89+F90+F91+F92</f>
        <v>-49</v>
      </c>
    </row>
    <row r="88" spans="1:6" ht="15" customHeight="1">
      <c r="A88" s="35" t="s">
        <v>97</v>
      </c>
      <c r="B88" s="39" t="s">
        <v>98</v>
      </c>
      <c r="C88" s="37">
        <f>22+37</f>
        <v>59</v>
      </c>
      <c r="D88" s="37">
        <v>10</v>
      </c>
      <c r="E88" s="38">
        <f t="shared" si="3"/>
        <v>16.949152542372879</v>
      </c>
      <c r="F88" s="38">
        <f>SUM(D88-C88)</f>
        <v>-49</v>
      </c>
    </row>
    <row r="89" spans="1:6" ht="15.75" customHeight="1">
      <c r="A89" s="35" t="s">
        <v>99</v>
      </c>
      <c r="B89" s="39" t="s">
        <v>100</v>
      </c>
      <c r="C89" s="37"/>
      <c r="D89" s="136"/>
      <c r="E89" s="38" t="e">
        <f t="shared" si="3"/>
        <v>#DIV/0!</v>
      </c>
      <c r="F89" s="38">
        <f>SUM(D89-C89)</f>
        <v>0</v>
      </c>
    </row>
    <row r="90" spans="1:6" ht="15.75" customHeight="1">
      <c r="A90" s="35" t="s">
        <v>101</v>
      </c>
      <c r="B90" s="39" t="s">
        <v>102</v>
      </c>
      <c r="C90" s="37"/>
      <c r="D90" s="136"/>
      <c r="E90" s="38" t="e">
        <f t="shared" si="3"/>
        <v>#DIV/0!</v>
      </c>
      <c r="F90" s="38"/>
    </row>
    <row r="91" spans="1:6" ht="15.75" customHeight="1">
      <c r="A91" s="35" t="s">
        <v>103</v>
      </c>
      <c r="B91" s="39" t="s">
        <v>104</v>
      </c>
      <c r="C91" s="37"/>
      <c r="D91" s="136"/>
      <c r="E91" s="38" t="e">
        <f t="shared" si="3"/>
        <v>#DIV/0!</v>
      </c>
      <c r="F91" s="38"/>
    </row>
    <row r="92" spans="1:6" ht="15.75" customHeight="1">
      <c r="A92" s="35" t="s">
        <v>105</v>
      </c>
      <c r="B92" s="39" t="s">
        <v>106</v>
      </c>
      <c r="C92" s="37"/>
      <c r="D92" s="136"/>
      <c r="E92" s="38" t="e">
        <f t="shared" si="3"/>
        <v>#DIV/0!</v>
      </c>
      <c r="F92" s="38"/>
    </row>
    <row r="93" spans="1:6" s="6" customFormat="1" ht="15.75" customHeight="1">
      <c r="A93" s="52">
        <v>1400</v>
      </c>
      <c r="B93" s="56" t="s">
        <v>115</v>
      </c>
      <c r="C93" s="48">
        <f>C94+C95+C96</f>
        <v>0</v>
      </c>
      <c r="D93" s="225">
        <f>SUM(D94:D96)</f>
        <v>0</v>
      </c>
      <c r="E93" s="34" t="e">
        <f t="shared" si="3"/>
        <v>#DIV/0!</v>
      </c>
      <c r="F93" s="34">
        <f t="shared" si="4"/>
        <v>0</v>
      </c>
    </row>
    <row r="94" spans="1:6">
      <c r="A94" s="53">
        <v>1401</v>
      </c>
      <c r="B94" s="54" t="s">
        <v>116</v>
      </c>
      <c r="C94" s="49"/>
      <c r="D94" s="241"/>
      <c r="E94" s="38" t="e">
        <f t="shared" si="3"/>
        <v>#DIV/0!</v>
      </c>
      <c r="F94" s="38">
        <f t="shared" si="4"/>
        <v>0</v>
      </c>
    </row>
    <row r="95" spans="1:6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8" s="6" customFormat="1" ht="20.25" customHeight="1">
      <c r="A97" s="52"/>
      <c r="B97" s="57" t="s">
        <v>119</v>
      </c>
      <c r="C97" s="33">
        <f>C56+C64+C66+C71+C76+C80+C82+C87+C93</f>
        <v>9912.9393299999992</v>
      </c>
      <c r="D97" s="33">
        <f>D56+D64+D66+D71+D76+D80+D82+D87+D93</f>
        <v>1224.62049</v>
      </c>
      <c r="E97" s="34">
        <f t="shared" si="3"/>
        <v>12.353757540852417</v>
      </c>
      <c r="F97" s="34">
        <f t="shared" si="4"/>
        <v>-8688.3188399999999</v>
      </c>
      <c r="H97" s="151"/>
    </row>
    <row r="98" spans="1:8" ht="13.5" customHeight="1">
      <c r="C98" s="117"/>
      <c r="D98" s="61"/>
    </row>
    <row r="99" spans="1:8" s="65" customFormat="1" ht="12.75">
      <c r="A99" s="63" t="s">
        <v>120</v>
      </c>
      <c r="B99" s="63"/>
      <c r="C99" s="134"/>
      <c r="D99" s="134"/>
    </row>
    <row r="100" spans="1:8" s="65" customFormat="1" ht="12.75">
      <c r="A100" s="66" t="s">
        <v>121</v>
      </c>
      <c r="B100" s="66"/>
      <c r="C100" s="119" t="s">
        <v>122</v>
      </c>
    </row>
    <row r="102" spans="1:8" ht="5.25" customHeight="1"/>
    <row r="141" hidden="1"/>
  </sheetData>
  <customSheetViews>
    <customSheetView guid="{A54C432C-6C68-4B53-A75C-446EB3A61B2B}" scale="70" showPageBreaks="1" printArea="1" hiddenRows="1" view="pageBreakPreview" topLeftCell="A32">
      <selection activeCell="C141" sqref="C141:D141"/>
      <pageMargins left="0.7" right="0.7" top="0.75" bottom="0.75" header="0.3" footer="0.3"/>
      <pageSetup paperSize="9" scale="54" orientation="portrait" r:id="rId1"/>
    </customSheetView>
    <customSheetView guid="{5BFCA170-DEAE-4D2C-98A0-1E68B427AC01}" scale="70" showPageBreaks="1" printArea="1" hiddenRows="1" view="pageBreakPreview" topLeftCell="A30">
      <selection activeCell="C97" sqref="C97:D97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printArea="1" hiddenRows="1" view="pageBreakPreview">
      <selection activeCell="C141" sqref="C141:D141"/>
      <pageMargins left="0.7" right="0.7" top="0.75" bottom="0.75" header="0.3" footer="0.3"/>
      <pageSetup paperSize="9" scale="54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4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99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437" t="s">
        <v>370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1750.1619999999998</v>
      </c>
      <c r="D4" s="5">
        <f>D5+D12+D14+D17+D7</f>
        <v>184.44206000000003</v>
      </c>
      <c r="E4" s="5">
        <f>SUM(D4/C4*100)</f>
        <v>10.538570715168085</v>
      </c>
      <c r="F4" s="5">
        <f>SUM(D4-C4)</f>
        <v>-1565.7199399999997</v>
      </c>
    </row>
    <row r="5" spans="1:6" s="6" customFormat="1">
      <c r="A5" s="3">
        <v>1010000000</v>
      </c>
      <c r="B5" s="4" t="s">
        <v>6</v>
      </c>
      <c r="C5" s="5">
        <f>C6</f>
        <v>91.6</v>
      </c>
      <c r="D5" s="5">
        <f>D6</f>
        <v>22.00198</v>
      </c>
      <c r="E5" s="5">
        <f t="shared" ref="E5:E48" si="0">SUM(D5/C5*100)</f>
        <v>24.019628820960701</v>
      </c>
      <c r="F5" s="5">
        <f t="shared" ref="F5:F48" si="1">SUM(D5-C5)</f>
        <v>-69.598019999999991</v>
      </c>
    </row>
    <row r="6" spans="1:6">
      <c r="A6" s="7">
        <v>1010200001</v>
      </c>
      <c r="B6" s="8" t="s">
        <v>229</v>
      </c>
      <c r="C6" s="9">
        <v>91.6</v>
      </c>
      <c r="D6" s="10">
        <v>22.00198</v>
      </c>
      <c r="E6" s="9">
        <f t="shared" ref="E6:E11" si="2">SUM(D6/C6*100)</f>
        <v>24.019628820960701</v>
      </c>
      <c r="F6" s="9">
        <f t="shared" si="1"/>
        <v>-69.598019999999991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98.171450000000007</v>
      </c>
      <c r="E7" s="5">
        <f t="shared" si="2"/>
        <v>23.343030720943506</v>
      </c>
      <c r="F7" s="5">
        <f t="shared" si="1"/>
        <v>-322.38855000000001</v>
      </c>
    </row>
    <row r="8" spans="1:6">
      <c r="A8" s="7">
        <v>1030223001</v>
      </c>
      <c r="B8" s="8" t="s">
        <v>283</v>
      </c>
      <c r="C8" s="9">
        <v>156.87</v>
      </c>
      <c r="D8" s="10">
        <v>40.445079999999997</v>
      </c>
      <c r="E8" s="9">
        <f t="shared" si="2"/>
        <v>25.782546057244847</v>
      </c>
      <c r="F8" s="9">
        <f t="shared" si="1"/>
        <v>-116.42492000000001</v>
      </c>
    </row>
    <row r="9" spans="1:6">
      <c r="A9" s="7">
        <v>1030224001</v>
      </c>
      <c r="B9" s="8" t="s">
        <v>289</v>
      </c>
      <c r="C9" s="9">
        <v>1.68</v>
      </c>
      <c r="D9" s="10">
        <v>0.27263999999999999</v>
      </c>
      <c r="E9" s="9">
        <f t="shared" si="2"/>
        <v>16.228571428571428</v>
      </c>
      <c r="F9" s="9">
        <f t="shared" si="1"/>
        <v>-1.4073599999999999</v>
      </c>
    </row>
    <row r="10" spans="1:6">
      <c r="A10" s="7">
        <v>1030225001</v>
      </c>
      <c r="B10" s="8" t="s">
        <v>282</v>
      </c>
      <c r="C10" s="9">
        <v>262.01</v>
      </c>
      <c r="D10" s="10">
        <v>65.881500000000003</v>
      </c>
      <c r="E10" s="9">
        <f t="shared" si="2"/>
        <v>25.144650967520327</v>
      </c>
      <c r="F10" s="9">
        <f t="shared" si="1"/>
        <v>-196.12849999999997</v>
      </c>
    </row>
    <row r="11" spans="1:6">
      <c r="A11" s="7">
        <v>1030226001</v>
      </c>
      <c r="B11" s="8" t="s">
        <v>291</v>
      </c>
      <c r="C11" s="9">
        <v>0</v>
      </c>
      <c r="D11" s="10">
        <v>-8.4277700000000006</v>
      </c>
      <c r="E11" s="9" t="e">
        <f t="shared" si="2"/>
        <v>#DIV/0!</v>
      </c>
      <c r="F11" s="9">
        <f t="shared" si="1"/>
        <v>-8.4277700000000006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1225</v>
      </c>
      <c r="D14" s="5">
        <f>D15+D16</f>
        <v>63.268630000000002</v>
      </c>
      <c r="E14" s="5">
        <f t="shared" si="0"/>
        <v>5.1647861224489802</v>
      </c>
      <c r="F14" s="5">
        <f t="shared" si="1"/>
        <v>-1161.73137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1.9697</v>
      </c>
      <c r="E15" s="9">
        <f t="shared" si="0"/>
        <v>0.83817021276595749</v>
      </c>
      <c r="F15" s="9">
        <f>SUM(D15-C15)</f>
        <v>-233.03030000000001</v>
      </c>
    </row>
    <row r="16" spans="1:6" ht="15.75" customHeight="1">
      <c r="A16" s="7">
        <v>1060600000</v>
      </c>
      <c r="B16" s="11" t="s">
        <v>8</v>
      </c>
      <c r="C16" s="9">
        <v>990</v>
      </c>
      <c r="D16" s="10">
        <v>61.298929999999999</v>
      </c>
      <c r="E16" s="9">
        <f t="shared" si="0"/>
        <v>6.1918111111111109</v>
      </c>
      <c r="F16" s="9">
        <f t="shared" si="1"/>
        <v>-928.70106999999996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1</v>
      </c>
      <c r="E17" s="5">
        <f t="shared" si="0"/>
        <v>12.496875781054735</v>
      </c>
      <c r="F17" s="5">
        <f t="shared" si="1"/>
        <v>-7.0020000000000007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1</v>
      </c>
      <c r="E18" s="9">
        <f t="shared" si="0"/>
        <v>12.496875781054735</v>
      </c>
      <c r="F18" s="9">
        <f t="shared" si="1"/>
        <v>-7.0020000000000007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50</v>
      </c>
      <c r="D25" s="5">
        <f>D26+D29+D31+D34</f>
        <v>0.12756000000000001</v>
      </c>
      <c r="E25" s="5">
        <f t="shared" si="0"/>
        <v>0.25512000000000001</v>
      </c>
      <c r="F25" s="5">
        <f t="shared" si="1"/>
        <v>-49.872439999999997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50</v>
      </c>
      <c r="D26" s="5">
        <f>D27+D28+D30</f>
        <v>0.12756000000000001</v>
      </c>
      <c r="E26" s="5">
        <f t="shared" si="0"/>
        <v>0.25512000000000001</v>
      </c>
      <c r="F26" s="5">
        <f t="shared" si="1"/>
        <v>-49.872439999999997</v>
      </c>
    </row>
    <row r="27" spans="1:6" ht="18" customHeight="1">
      <c r="A27" s="16">
        <v>1110502510</v>
      </c>
      <c r="B27" s="17" t="s">
        <v>226</v>
      </c>
      <c r="C27" s="12">
        <v>50</v>
      </c>
      <c r="D27" s="10">
        <v>0.12756000000000001</v>
      </c>
      <c r="E27" s="5">
        <f t="shared" si="0"/>
        <v>0.25512000000000001</v>
      </c>
      <c r="F27" s="9">
        <f t="shared" si="1"/>
        <v>-49.872439999999997</v>
      </c>
    </row>
    <row r="28" spans="1:6" ht="24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7.25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7.2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15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1800.1619999999998</v>
      </c>
      <c r="D37" s="127">
        <f>D4+D25</f>
        <v>184.56962000000001</v>
      </c>
      <c r="E37" s="5">
        <f t="shared" si="0"/>
        <v>10.252945012726634</v>
      </c>
      <c r="F37" s="5">
        <f t="shared" si="1"/>
        <v>-1615.5923799999998</v>
      </c>
    </row>
    <row r="38" spans="1:7" s="6" customFormat="1">
      <c r="A38" s="3">
        <v>2000000000</v>
      </c>
      <c r="B38" s="4" t="s">
        <v>20</v>
      </c>
      <c r="C38" s="5">
        <f>C39+C41+C42+C44+C45+C46+C40</f>
        <v>6331.116</v>
      </c>
      <c r="D38" s="5">
        <f>D39+D41+D42+D44+D45+D46+D40</f>
        <v>500.61799999999999</v>
      </c>
      <c r="E38" s="5">
        <f t="shared" si="0"/>
        <v>7.9072631112745375</v>
      </c>
      <c r="F38" s="5">
        <f t="shared" si="1"/>
        <v>-5830.4979999999996</v>
      </c>
      <c r="G38" s="19"/>
    </row>
    <row r="39" spans="1:7">
      <c r="A39" s="16">
        <v>2021000000</v>
      </c>
      <c r="B39" s="17" t="s">
        <v>21</v>
      </c>
      <c r="C39" s="12">
        <f>940.2+18.94</f>
        <v>959.1400000000001</v>
      </c>
      <c r="D39" s="20">
        <v>313.39600000000002</v>
      </c>
      <c r="E39" s="9">
        <f t="shared" si="0"/>
        <v>32.674687741101401</v>
      </c>
      <c r="F39" s="9">
        <f t="shared" si="1"/>
        <v>-645.74400000000014</v>
      </c>
    </row>
    <row r="40" spans="1:7" ht="15.75" customHeight="1">
      <c r="A40" s="16">
        <v>2021500200</v>
      </c>
      <c r="B40" s="17" t="s">
        <v>232</v>
      </c>
      <c r="C40" s="12">
        <v>386</v>
      </c>
      <c r="D40" s="20">
        <v>96.5</v>
      </c>
      <c r="E40" s="9">
        <f t="shared" si="0"/>
        <v>25</v>
      </c>
      <c r="F40" s="9">
        <f t="shared" si="1"/>
        <v>-289.5</v>
      </c>
    </row>
    <row r="41" spans="1:7">
      <c r="A41" s="16">
        <v>2022000000</v>
      </c>
      <c r="B41" s="17" t="s">
        <v>22</v>
      </c>
      <c r="C41" s="12">
        <v>4832.88</v>
      </c>
      <c r="D41" s="10">
        <v>0</v>
      </c>
      <c r="E41" s="9">
        <f t="shared" si="0"/>
        <v>0</v>
      </c>
      <c r="F41" s="9">
        <f t="shared" si="1"/>
        <v>-4832.88</v>
      </c>
    </row>
    <row r="42" spans="1:7" ht="15" customHeight="1">
      <c r="A42" s="16">
        <v>2023000000</v>
      </c>
      <c r="B42" s="17" t="s">
        <v>23</v>
      </c>
      <c r="C42" s="12">
        <v>73.096000000000004</v>
      </c>
      <c r="D42" s="252">
        <v>17.722000000000001</v>
      </c>
      <c r="E42" s="9">
        <f t="shared" si="0"/>
        <v>24.244828718397724</v>
      </c>
      <c r="F42" s="9">
        <f t="shared" si="1"/>
        <v>-55.374000000000002</v>
      </c>
    </row>
    <row r="43" spans="1:7" ht="15" hidden="1" customHeight="1">
      <c r="A43" s="16">
        <v>2070503010</v>
      </c>
      <c r="B43" s="17" t="s">
        <v>271</v>
      </c>
      <c r="C43" s="12">
        <v>0</v>
      </c>
      <c r="D43" s="252"/>
      <c r="E43" s="9" t="e">
        <f t="shared" si="0"/>
        <v>#DIV/0!</v>
      </c>
      <c r="F43" s="9">
        <f t="shared" si="1"/>
        <v>0</v>
      </c>
    </row>
    <row r="44" spans="1:7">
      <c r="A44" s="16">
        <v>2020400000</v>
      </c>
      <c r="B44" s="17" t="s">
        <v>24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7" ht="15" hidden="1" customHeight="1">
      <c r="A45" s="16">
        <v>2020700000</v>
      </c>
      <c r="B45" s="18" t="s">
        <v>298</v>
      </c>
      <c r="C45" s="12">
        <v>80</v>
      </c>
      <c r="D45" s="253">
        <v>73</v>
      </c>
      <c r="E45" s="9">
        <f t="shared" si="0"/>
        <v>91.25</v>
      </c>
      <c r="F45" s="9">
        <f t="shared" si="1"/>
        <v>-7</v>
      </c>
    </row>
    <row r="46" spans="1:7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31.5" hidden="1">
      <c r="A47" s="3">
        <v>3000000000</v>
      </c>
      <c r="B47" s="13" t="s">
        <v>27</v>
      </c>
      <c r="C47" s="286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15" customHeight="1">
      <c r="A48" s="3"/>
      <c r="B48" s="4" t="s">
        <v>28</v>
      </c>
      <c r="C48" s="93">
        <f>SUM(C37,C38,C47)</f>
        <v>8131.2780000000002</v>
      </c>
      <c r="D48" s="379">
        <f>D37+D38</f>
        <v>685.18762000000004</v>
      </c>
      <c r="E48" s="5">
        <f t="shared" si="0"/>
        <v>8.4265673858402081</v>
      </c>
      <c r="F48" s="5">
        <f t="shared" si="1"/>
        <v>-7446.0903800000006</v>
      </c>
    </row>
    <row r="49" spans="1:6" s="6" customFormat="1">
      <c r="A49" s="3"/>
      <c r="B49" s="21" t="s">
        <v>321</v>
      </c>
      <c r="C49" s="93">
        <f>C48-C94</f>
        <v>-53.659869999999501</v>
      </c>
      <c r="D49" s="93">
        <f>D48-D94</f>
        <v>124.02460000000008</v>
      </c>
      <c r="E49" s="22"/>
      <c r="F49" s="22"/>
    </row>
    <row r="50" spans="1:6" ht="23.25" customHeight="1">
      <c r="A50" s="23"/>
      <c r="B50" s="24"/>
      <c r="C50" s="364"/>
      <c r="D50" s="364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360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1249.1679999999999</v>
      </c>
      <c r="D53" s="32">
        <f>D54+D55+D56+D57+D58+D60+D59</f>
        <v>247.55278999999999</v>
      </c>
      <c r="E53" s="34">
        <f>SUM(D53/C53*100)</f>
        <v>19.817413670539111</v>
      </c>
      <c r="F53" s="34">
        <f>SUM(D53-C53)</f>
        <v>-1001.6152099999999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15" customHeight="1">
      <c r="A55" s="35" t="s">
        <v>34</v>
      </c>
      <c r="B55" s="39" t="s">
        <v>35</v>
      </c>
      <c r="C55" s="37">
        <v>1242.04</v>
      </c>
      <c r="D55" s="37">
        <v>247.55278999999999</v>
      </c>
      <c r="E55" s="38">
        <f t="shared" ref="E55:E94" si="3">SUM(D55/C55*100)</f>
        <v>19.931144729638337</v>
      </c>
      <c r="F55" s="38">
        <f t="shared" ref="F55:F94" si="4">SUM(D55-C55)</f>
        <v>-994.48721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15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2.1280000000000001</v>
      </c>
      <c r="D60" s="37">
        <v>0</v>
      </c>
      <c r="E60" s="38">
        <f t="shared" si="3"/>
        <v>0</v>
      </c>
      <c r="F60" s="38">
        <f t="shared" si="4"/>
        <v>-2.1280000000000001</v>
      </c>
    </row>
    <row r="61" spans="1:6" s="6" customFormat="1">
      <c r="A61" s="41" t="s">
        <v>46</v>
      </c>
      <c r="B61" s="42" t="s">
        <v>47</v>
      </c>
      <c r="C61" s="32">
        <f>C62</f>
        <v>70.596000000000004</v>
      </c>
      <c r="D61" s="32">
        <f>D62</f>
        <v>11.65504</v>
      </c>
      <c r="E61" s="34">
        <f t="shared" si="3"/>
        <v>16.50949062269817</v>
      </c>
      <c r="F61" s="34">
        <f t="shared" si="4"/>
        <v>-58.940960000000004</v>
      </c>
    </row>
    <row r="62" spans="1:6">
      <c r="A62" s="43" t="s">
        <v>48</v>
      </c>
      <c r="B62" s="44" t="s">
        <v>49</v>
      </c>
      <c r="C62" s="37">
        <v>70.596000000000004</v>
      </c>
      <c r="D62" s="37">
        <v>11.65504</v>
      </c>
      <c r="E62" s="38">
        <f t="shared" si="3"/>
        <v>16.50949062269817</v>
      </c>
      <c r="F62" s="38">
        <f t="shared" si="4"/>
        <v>-58.940960000000004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22</v>
      </c>
      <c r="D63" s="32">
        <f>D67+D66</f>
        <v>1.6060000000000001</v>
      </c>
      <c r="E63" s="34">
        <f t="shared" si="3"/>
        <v>7.3000000000000007</v>
      </c>
      <c r="F63" s="34">
        <f t="shared" si="4"/>
        <v>-20.393999999999998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15</v>
      </c>
      <c r="D66" s="37">
        <v>0</v>
      </c>
      <c r="E66" s="34">
        <f t="shared" si="3"/>
        <v>0</v>
      </c>
      <c r="F66" s="34">
        <f t="shared" si="4"/>
        <v>-15</v>
      </c>
    </row>
    <row r="67" spans="1:7" ht="15.75" customHeight="1">
      <c r="A67" s="46" t="s">
        <v>219</v>
      </c>
      <c r="B67" s="47" t="s">
        <v>220</v>
      </c>
      <c r="C67" s="37">
        <v>7</v>
      </c>
      <c r="D67" s="37">
        <v>1.6060000000000001</v>
      </c>
      <c r="E67" s="34">
        <f t="shared" si="3"/>
        <v>22.942857142857147</v>
      </c>
      <c r="F67" s="34">
        <f t="shared" si="4"/>
        <v>-5.3940000000000001</v>
      </c>
    </row>
    <row r="68" spans="1:7" s="6" customFormat="1">
      <c r="A68" s="30" t="s">
        <v>58</v>
      </c>
      <c r="B68" s="31" t="s">
        <v>59</v>
      </c>
      <c r="C68" s="48">
        <f>SUM(C69:C72)</f>
        <v>1203.6738700000001</v>
      </c>
      <c r="D68" s="48">
        <f>SUM(D69:D72)</f>
        <v>100.01</v>
      </c>
      <c r="E68" s="34">
        <f t="shared" si="3"/>
        <v>8.3087290081324117</v>
      </c>
      <c r="F68" s="34">
        <f t="shared" si="4"/>
        <v>-1103.6638700000001</v>
      </c>
    </row>
    <row r="69" spans="1:7" ht="15" customHeight="1">
      <c r="A69" s="35" t="s">
        <v>60</v>
      </c>
      <c r="B69" s="39" t="s">
        <v>61</v>
      </c>
      <c r="C69" s="49">
        <f>2.5+7.5</f>
        <v>10</v>
      </c>
      <c r="D69" s="37">
        <v>0</v>
      </c>
      <c r="E69" s="38">
        <f t="shared" si="3"/>
        <v>0</v>
      </c>
      <c r="F69" s="38">
        <f t="shared" si="4"/>
        <v>-10</v>
      </c>
    </row>
    <row r="70" spans="1:7" s="6" customFormat="1" ht="18" customHeight="1">
      <c r="A70" s="35" t="s">
        <v>62</v>
      </c>
      <c r="B70" s="39" t="s">
        <v>63</v>
      </c>
      <c r="C70" s="49">
        <v>60.101999999999997</v>
      </c>
      <c r="D70" s="37">
        <v>0</v>
      </c>
      <c r="E70" s="38">
        <f t="shared" si="3"/>
        <v>0</v>
      </c>
      <c r="F70" s="38">
        <f t="shared" si="4"/>
        <v>-60.101999999999997</v>
      </c>
      <c r="G70" s="50"/>
    </row>
    <row r="71" spans="1:7">
      <c r="A71" s="35" t="s">
        <v>64</v>
      </c>
      <c r="B71" s="39" t="s">
        <v>65</v>
      </c>
      <c r="C71" s="49">
        <v>1102.59987</v>
      </c>
      <c r="D71" s="37">
        <v>72.2</v>
      </c>
      <c r="E71" s="38">
        <f t="shared" si="3"/>
        <v>6.5481596692007589</v>
      </c>
      <c r="F71" s="38">
        <f t="shared" si="4"/>
        <v>-1030.39987</v>
      </c>
    </row>
    <row r="72" spans="1:7">
      <c r="A72" s="35" t="s">
        <v>66</v>
      </c>
      <c r="B72" s="39" t="s">
        <v>67</v>
      </c>
      <c r="C72" s="49">
        <v>30.972000000000001</v>
      </c>
      <c r="D72" s="37">
        <v>27.81</v>
      </c>
      <c r="E72" s="38">
        <f t="shared" si="3"/>
        <v>89.790778767919406</v>
      </c>
      <c r="F72" s="38">
        <f t="shared" si="4"/>
        <v>-3.1620000000000026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290</v>
      </c>
      <c r="D73" s="32">
        <f>SUM(D75:D76)</f>
        <v>24.324190000000002</v>
      </c>
      <c r="E73" s="34">
        <f t="shared" si="3"/>
        <v>8.3876517241379318</v>
      </c>
      <c r="F73" s="34">
        <f t="shared" si="4"/>
        <v>-265.67581000000001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hidden="1" customHeight="1">
      <c r="A75" s="35" t="s">
        <v>72</v>
      </c>
      <c r="B75" s="51" t="s">
        <v>73</v>
      </c>
      <c r="C75" s="37"/>
      <c r="D75" s="37"/>
      <c r="E75" s="38" t="e">
        <f t="shared" si="3"/>
        <v>#DIV/0!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f>110+180</f>
        <v>290</v>
      </c>
      <c r="D76" s="37">
        <v>24.324190000000002</v>
      </c>
      <c r="E76" s="38">
        <f>SUM(D76/C76*100)</f>
        <v>8.3876517241379318</v>
      </c>
      <c r="F76" s="38">
        <f t="shared" si="4"/>
        <v>-265.67581000000001</v>
      </c>
    </row>
    <row r="77" spans="1:7" s="6" customFormat="1">
      <c r="A77" s="30" t="s">
        <v>86</v>
      </c>
      <c r="B77" s="31" t="s">
        <v>87</v>
      </c>
      <c r="C77" s="32">
        <f>C78</f>
        <v>5344.5</v>
      </c>
      <c r="D77" s="32">
        <f>SUM(D78)</f>
        <v>174</v>
      </c>
      <c r="E77" s="34">
        <f t="shared" si="3"/>
        <v>3.2556834128543364</v>
      </c>
      <c r="F77" s="34">
        <f t="shared" si="4"/>
        <v>-5170.5</v>
      </c>
    </row>
    <row r="78" spans="1:7" ht="17.25" customHeight="1">
      <c r="A78" s="35" t="s">
        <v>88</v>
      </c>
      <c r="B78" s="39" t="s">
        <v>234</v>
      </c>
      <c r="C78" s="37">
        <f>1044.5+500+3800</f>
        <v>5344.5</v>
      </c>
      <c r="D78" s="37">
        <v>174</v>
      </c>
      <c r="E78" s="38">
        <f t="shared" si="3"/>
        <v>3.2556834128543364</v>
      </c>
      <c r="F78" s="38">
        <f t="shared" si="4"/>
        <v>-5170.5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customHeight="1">
      <c r="A84" s="30" t="s">
        <v>95</v>
      </c>
      <c r="B84" s="31" t="s">
        <v>96</v>
      </c>
      <c r="C84" s="32">
        <f>C85+C86+C87+C88+C89</f>
        <v>5</v>
      </c>
      <c r="D84" s="32">
        <f>D85+D86+D87+D88+D89</f>
        <v>2.0150000000000001</v>
      </c>
      <c r="E84" s="38">
        <f t="shared" si="3"/>
        <v>40.300000000000004</v>
      </c>
      <c r="F84" s="22">
        <f>F85+F86+F87+F88+F89</f>
        <v>-2.9849999999999999</v>
      </c>
    </row>
    <row r="85" spans="1:6" ht="15" customHeight="1">
      <c r="A85" s="35" t="s">
        <v>97</v>
      </c>
      <c r="B85" s="39" t="s">
        <v>98</v>
      </c>
      <c r="C85" s="37">
        <v>5</v>
      </c>
      <c r="D85" s="37">
        <v>2.0150000000000001</v>
      </c>
      <c r="E85" s="38">
        <f t="shared" si="3"/>
        <v>40.300000000000004</v>
      </c>
      <c r="F85" s="38">
        <f>SUM(D85-C85)</f>
        <v>-2.9849999999999999</v>
      </c>
    </row>
    <row r="86" spans="1:6" ht="15.75" hidden="1" customHeight="1">
      <c r="A86" s="35" t="s">
        <v>99</v>
      </c>
      <c r="B86" s="39" t="s">
        <v>100</v>
      </c>
      <c r="C86" s="37"/>
      <c r="D86" s="37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7"/>
      <c r="D87" s="37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7"/>
      <c r="D88" s="37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7"/>
      <c r="D89" s="37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48">
        <f>C91+C92+C93</f>
        <v>0</v>
      </c>
      <c r="D90" s="48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49"/>
      <c r="D91" s="37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49"/>
      <c r="D92" s="37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240">
        <v>0</v>
      </c>
      <c r="D93" s="241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33">
        <f>C53+C61+C63+C68+C73+C77+C79+C84+C90</f>
        <v>8184.9378699999997</v>
      </c>
      <c r="D94" s="33">
        <f>D53+D61+D63+D68+D73+D77+D79+D84+D90</f>
        <v>561.16301999999996</v>
      </c>
      <c r="E94" s="34">
        <f t="shared" si="3"/>
        <v>6.8560449561482137</v>
      </c>
      <c r="F94" s="34">
        <f t="shared" si="4"/>
        <v>-7623.7748499999998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A54C432C-6C68-4B53-A75C-446EB3A61B2B}" scale="70" showPageBreaks="1" hiddenRows="1" view="pageBreakPreview" topLeftCell="A55">
      <selection activeCell="C141" sqref="C141:D141"/>
      <pageMargins left="0.7" right="0.7" top="0.75" bottom="0.75" header="0.3" footer="0.3"/>
      <pageSetup paperSize="9" scale="64" orientation="portrait" r:id="rId1"/>
    </customSheetView>
    <customSheetView guid="{5BFCA170-DEAE-4D2C-98A0-1E68B427AC01}" scale="70" showPageBreaks="1" hiddenRows="1" view="pageBreakPreview">
      <selection activeCell="C94" sqref="C94"/>
      <pageMargins left="0.7" right="0.7" top="0.75" bottom="0.75" header="0.3" footer="0.3"/>
      <pageSetup paperSize="9" scale="62" orientation="portrait" r:id="rId2"/>
    </customSheetView>
    <customSheetView guid="{42584DC0-1D41-4C93-9B38-C388E7B8DAC4}" scale="70" showPageBreaks="1" hiddenRows="1" view="pageBreakPreview">
      <selection activeCell="C141" sqref="C141:D141"/>
      <pageMargins left="0.7" right="0.7" top="0.75" bottom="0.75" header="0.3" footer="0.3"/>
      <pageSetup paperSize="9" scale="64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64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SheetLayoutView="75" workbookViewId="0">
      <pane xSplit="2" ySplit="4" topLeftCell="CK14" activePane="bottomRight" state="frozen"/>
      <selection activeCell="A10" sqref="A10"/>
      <selection pane="topRight" activeCell="C10" sqref="C10"/>
      <selection pane="bottomLeft" activeCell="A14" sqref="A14"/>
      <selection pane="bottomRight" activeCell="CR15" sqref="CR15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9.855468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7.5703125" style="153" hidden="1" customWidth="1"/>
    <col min="67" max="67" width="19.28515625" style="153" hidden="1" customWidth="1"/>
    <col min="68" max="68" width="10.7109375" style="153" hidden="1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0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0.5703125" style="153" bestFit="1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418" t="s">
        <v>137</v>
      </c>
      <c r="Y1" s="418"/>
      <c r="Z1" s="418"/>
      <c r="AA1" s="156"/>
      <c r="AB1" s="156"/>
      <c r="AC1" s="156"/>
      <c r="AD1" s="413"/>
      <c r="AE1" s="413"/>
      <c r="AF1" s="413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413"/>
      <c r="AE2" s="413"/>
      <c r="AF2" s="413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417" t="s">
        <v>139</v>
      </c>
      <c r="Y3" s="417"/>
      <c r="Z3" s="417"/>
      <c r="AA3" s="158"/>
      <c r="AB3" s="158"/>
      <c r="AC3" s="158"/>
      <c r="AD3" s="417"/>
      <c r="AE3" s="417"/>
      <c r="AF3" s="417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421" t="s">
        <v>140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419" t="s">
        <v>361</v>
      </c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12" t="s">
        <v>141</v>
      </c>
      <c r="B7" s="412" t="s">
        <v>142</v>
      </c>
      <c r="C7" s="403" t="s">
        <v>143</v>
      </c>
      <c r="D7" s="404"/>
      <c r="E7" s="405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03" t="s">
        <v>145</v>
      </c>
      <c r="DH7" s="404"/>
      <c r="DI7" s="405"/>
      <c r="DJ7" s="403"/>
      <c r="DK7" s="404"/>
      <c r="DL7" s="404"/>
      <c r="DM7" s="404"/>
      <c r="DN7" s="404"/>
      <c r="DO7" s="404"/>
      <c r="DP7" s="404"/>
      <c r="DQ7" s="404"/>
      <c r="DR7" s="404"/>
      <c r="DS7" s="404"/>
      <c r="DT7" s="404"/>
      <c r="DU7" s="404"/>
      <c r="DV7" s="404"/>
      <c r="DW7" s="404"/>
      <c r="DX7" s="404"/>
      <c r="DY7" s="404"/>
      <c r="DZ7" s="404"/>
      <c r="EA7" s="404"/>
      <c r="EB7" s="404"/>
      <c r="EC7" s="404"/>
      <c r="ED7" s="404"/>
      <c r="EE7" s="404"/>
      <c r="EF7" s="404"/>
      <c r="EG7" s="404"/>
      <c r="EH7" s="404"/>
      <c r="EI7" s="404"/>
      <c r="EJ7" s="404"/>
      <c r="EK7" s="404"/>
      <c r="EL7" s="404"/>
      <c r="EM7" s="404"/>
      <c r="EN7" s="404"/>
      <c r="EO7" s="404"/>
      <c r="EP7" s="404"/>
      <c r="EQ7" s="404"/>
      <c r="ER7" s="404"/>
      <c r="ES7" s="404"/>
      <c r="ET7" s="404"/>
      <c r="EU7" s="404"/>
      <c r="EV7" s="405"/>
      <c r="EW7" s="403" t="s">
        <v>146</v>
      </c>
      <c r="EX7" s="404"/>
      <c r="EY7" s="405"/>
    </row>
    <row r="8" spans="1:159" s="169" customFormat="1" ht="15" customHeight="1">
      <c r="A8" s="412"/>
      <c r="B8" s="412"/>
      <c r="C8" s="406"/>
      <c r="D8" s="407"/>
      <c r="E8" s="408"/>
      <c r="F8" s="406" t="s">
        <v>147</v>
      </c>
      <c r="G8" s="407"/>
      <c r="H8" s="408"/>
      <c r="I8" s="414" t="s">
        <v>148</v>
      </c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  <c r="AJ8" s="415"/>
      <c r="AK8" s="415"/>
      <c r="AL8" s="415"/>
      <c r="AM8" s="415"/>
      <c r="AN8" s="415"/>
      <c r="AO8" s="415"/>
      <c r="AP8" s="415"/>
      <c r="AQ8" s="415"/>
      <c r="AR8" s="415"/>
      <c r="AS8" s="415"/>
      <c r="AT8" s="415"/>
      <c r="AU8" s="415"/>
      <c r="AV8" s="415"/>
      <c r="AW8" s="415"/>
      <c r="AX8" s="416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12" t="s">
        <v>149</v>
      </c>
      <c r="CA8" s="412"/>
      <c r="CB8" s="412"/>
      <c r="CC8" s="409" t="s">
        <v>148</v>
      </c>
      <c r="CD8" s="410"/>
      <c r="CE8" s="410"/>
      <c r="CF8" s="410"/>
      <c r="CG8" s="410"/>
      <c r="CH8" s="410"/>
      <c r="CI8" s="410"/>
      <c r="CJ8" s="410"/>
      <c r="CK8" s="410"/>
      <c r="CL8" s="410"/>
      <c r="CM8" s="410"/>
      <c r="CN8" s="410"/>
      <c r="CO8" s="170"/>
      <c r="CP8" s="170"/>
      <c r="CQ8" s="170"/>
      <c r="CR8" s="170"/>
      <c r="CS8" s="170"/>
      <c r="CT8" s="170"/>
      <c r="CU8" s="175"/>
      <c r="CV8" s="175"/>
      <c r="CW8" s="176"/>
      <c r="CX8" s="406" t="s">
        <v>150</v>
      </c>
      <c r="CY8" s="407"/>
      <c r="CZ8" s="408"/>
      <c r="DA8" s="400"/>
      <c r="DB8" s="401"/>
      <c r="DC8" s="402"/>
      <c r="DD8" s="400"/>
      <c r="DE8" s="401"/>
      <c r="DF8" s="402"/>
      <c r="DG8" s="406"/>
      <c r="DH8" s="407"/>
      <c r="DI8" s="408"/>
      <c r="DJ8" s="406" t="s">
        <v>148</v>
      </c>
      <c r="DK8" s="407"/>
      <c r="DL8" s="407"/>
      <c r="DM8" s="407"/>
      <c r="DN8" s="407"/>
      <c r="DO8" s="407"/>
      <c r="DP8" s="407"/>
      <c r="DQ8" s="407"/>
      <c r="DR8" s="407"/>
      <c r="DS8" s="407"/>
      <c r="DT8" s="407"/>
      <c r="DU8" s="407"/>
      <c r="DV8" s="407"/>
      <c r="DW8" s="407"/>
      <c r="DX8" s="407"/>
      <c r="DY8" s="407"/>
      <c r="DZ8" s="407"/>
      <c r="EA8" s="407"/>
      <c r="EB8" s="407"/>
      <c r="EC8" s="407"/>
      <c r="ED8" s="407"/>
      <c r="EE8" s="407"/>
      <c r="EF8" s="407"/>
      <c r="EG8" s="407"/>
      <c r="EH8" s="407"/>
      <c r="EI8" s="407"/>
      <c r="EJ8" s="407"/>
      <c r="EK8" s="407"/>
      <c r="EL8" s="407"/>
      <c r="EM8" s="407"/>
      <c r="EN8" s="407"/>
      <c r="EO8" s="407"/>
      <c r="EP8" s="407"/>
      <c r="EQ8" s="407"/>
      <c r="ER8" s="407"/>
      <c r="ES8" s="407"/>
      <c r="ET8" s="407"/>
      <c r="EU8" s="407"/>
      <c r="EV8" s="408"/>
      <c r="EW8" s="406"/>
      <c r="EX8" s="407"/>
      <c r="EY8" s="408"/>
    </row>
    <row r="9" spans="1:159" s="169" customFormat="1" ht="15" customHeight="1">
      <c r="A9" s="412"/>
      <c r="B9" s="412"/>
      <c r="C9" s="406"/>
      <c r="D9" s="407"/>
      <c r="E9" s="408"/>
      <c r="F9" s="406"/>
      <c r="G9" s="407"/>
      <c r="H9" s="408"/>
      <c r="I9" s="403" t="s">
        <v>151</v>
      </c>
      <c r="J9" s="404"/>
      <c r="K9" s="405"/>
      <c r="L9" s="403" t="s">
        <v>293</v>
      </c>
      <c r="M9" s="404"/>
      <c r="N9" s="405"/>
      <c r="O9" s="403" t="s">
        <v>296</v>
      </c>
      <c r="P9" s="404"/>
      <c r="Q9" s="405"/>
      <c r="R9" s="403" t="s">
        <v>294</v>
      </c>
      <c r="S9" s="404"/>
      <c r="T9" s="405"/>
      <c r="U9" s="403" t="s">
        <v>295</v>
      </c>
      <c r="V9" s="404"/>
      <c r="W9" s="405"/>
      <c r="X9" s="403" t="s">
        <v>152</v>
      </c>
      <c r="Y9" s="404"/>
      <c r="Z9" s="405"/>
      <c r="AA9" s="403" t="s">
        <v>153</v>
      </c>
      <c r="AB9" s="404"/>
      <c r="AC9" s="405"/>
      <c r="AD9" s="403" t="s">
        <v>154</v>
      </c>
      <c r="AE9" s="404"/>
      <c r="AF9" s="405"/>
      <c r="AG9" s="412" t="s">
        <v>155</v>
      </c>
      <c r="AH9" s="412"/>
      <c r="AI9" s="412"/>
      <c r="AJ9" s="403" t="s">
        <v>255</v>
      </c>
      <c r="AK9" s="404"/>
      <c r="AL9" s="405"/>
      <c r="AM9" s="403" t="s">
        <v>156</v>
      </c>
      <c r="AN9" s="404"/>
      <c r="AO9" s="405"/>
      <c r="AP9" s="403" t="s">
        <v>348</v>
      </c>
      <c r="AQ9" s="404"/>
      <c r="AR9" s="405"/>
      <c r="AS9" s="403" t="s">
        <v>157</v>
      </c>
      <c r="AT9" s="404"/>
      <c r="AU9" s="405"/>
      <c r="AV9" s="403" t="s">
        <v>158</v>
      </c>
      <c r="AW9" s="404"/>
      <c r="AX9" s="405"/>
      <c r="AY9" s="403" t="s">
        <v>257</v>
      </c>
      <c r="AZ9" s="404"/>
      <c r="BA9" s="405"/>
      <c r="BB9" s="403" t="s">
        <v>358</v>
      </c>
      <c r="BC9" s="404"/>
      <c r="BD9" s="405"/>
      <c r="BE9" s="403" t="s">
        <v>159</v>
      </c>
      <c r="BF9" s="404"/>
      <c r="BG9" s="405"/>
      <c r="BH9" s="403" t="s">
        <v>160</v>
      </c>
      <c r="BI9" s="404"/>
      <c r="BJ9" s="405"/>
      <c r="BK9" s="403" t="s">
        <v>286</v>
      </c>
      <c r="BL9" s="404"/>
      <c r="BM9" s="405"/>
      <c r="BN9" s="403" t="s">
        <v>253</v>
      </c>
      <c r="BO9" s="404"/>
      <c r="BP9" s="405"/>
      <c r="BQ9" s="403" t="s">
        <v>161</v>
      </c>
      <c r="BR9" s="404"/>
      <c r="BS9" s="405"/>
      <c r="BT9" s="403" t="s">
        <v>162</v>
      </c>
      <c r="BU9" s="404"/>
      <c r="BV9" s="405"/>
      <c r="BW9" s="406" t="s">
        <v>163</v>
      </c>
      <c r="BX9" s="407"/>
      <c r="BY9" s="407"/>
      <c r="BZ9" s="412"/>
      <c r="CA9" s="412"/>
      <c r="CB9" s="412"/>
      <c r="CC9" s="403" t="s">
        <v>349</v>
      </c>
      <c r="CD9" s="404"/>
      <c r="CE9" s="405"/>
      <c r="CF9" s="403" t="s">
        <v>350</v>
      </c>
      <c r="CG9" s="404"/>
      <c r="CH9" s="405"/>
      <c r="CI9" s="403" t="s">
        <v>164</v>
      </c>
      <c r="CJ9" s="404"/>
      <c r="CK9" s="405"/>
      <c r="CL9" s="403" t="s">
        <v>165</v>
      </c>
      <c r="CM9" s="404"/>
      <c r="CN9" s="405"/>
      <c r="CO9" s="403" t="s">
        <v>24</v>
      </c>
      <c r="CP9" s="404"/>
      <c r="CQ9" s="405"/>
      <c r="CR9" s="403" t="s">
        <v>303</v>
      </c>
      <c r="CS9" s="404"/>
      <c r="CT9" s="405"/>
      <c r="CU9" s="403" t="s">
        <v>351</v>
      </c>
      <c r="CV9" s="404"/>
      <c r="CW9" s="405"/>
      <c r="CX9" s="406"/>
      <c r="CY9" s="407"/>
      <c r="CZ9" s="408"/>
      <c r="DA9" s="403" t="s">
        <v>271</v>
      </c>
      <c r="DB9" s="404"/>
      <c r="DC9" s="405"/>
      <c r="DD9" s="412" t="s">
        <v>166</v>
      </c>
      <c r="DE9" s="412"/>
      <c r="DF9" s="412"/>
      <c r="DG9" s="406"/>
      <c r="DH9" s="407"/>
      <c r="DI9" s="408"/>
      <c r="DJ9" s="431" t="s">
        <v>167</v>
      </c>
      <c r="DK9" s="432"/>
      <c r="DL9" s="433"/>
      <c r="DM9" s="425" t="s">
        <v>144</v>
      </c>
      <c r="DN9" s="426"/>
      <c r="DO9" s="426"/>
      <c r="DP9" s="426"/>
      <c r="DQ9" s="426"/>
      <c r="DR9" s="426"/>
      <c r="DS9" s="426"/>
      <c r="DT9" s="426"/>
      <c r="DU9" s="426"/>
      <c r="DV9" s="426"/>
      <c r="DW9" s="426"/>
      <c r="DX9" s="427"/>
      <c r="DY9" s="431" t="s">
        <v>168</v>
      </c>
      <c r="DZ9" s="432"/>
      <c r="EA9" s="433"/>
      <c r="EB9" s="431" t="s">
        <v>169</v>
      </c>
      <c r="EC9" s="432"/>
      <c r="ED9" s="433"/>
      <c r="EE9" s="431" t="s">
        <v>170</v>
      </c>
      <c r="EF9" s="432"/>
      <c r="EG9" s="433"/>
      <c r="EH9" s="431" t="s">
        <v>171</v>
      </c>
      <c r="EI9" s="432"/>
      <c r="EJ9" s="433"/>
      <c r="EK9" s="403" t="s">
        <v>297</v>
      </c>
      <c r="EL9" s="404"/>
      <c r="EM9" s="405"/>
      <c r="EN9" s="403" t="s">
        <v>172</v>
      </c>
      <c r="EO9" s="404"/>
      <c r="EP9" s="405"/>
      <c r="EQ9" s="403" t="s">
        <v>329</v>
      </c>
      <c r="ER9" s="404"/>
      <c r="ES9" s="405"/>
      <c r="ET9" s="412" t="s">
        <v>299</v>
      </c>
      <c r="EU9" s="412"/>
      <c r="EV9" s="412"/>
      <c r="EW9" s="406"/>
      <c r="EX9" s="407"/>
      <c r="EY9" s="408"/>
    </row>
    <row r="10" spans="1:159" s="169" customFormat="1" ht="15" customHeight="1">
      <c r="A10" s="412"/>
      <c r="B10" s="412"/>
      <c r="C10" s="406"/>
      <c r="D10" s="407"/>
      <c r="E10" s="408"/>
      <c r="F10" s="406"/>
      <c r="G10" s="407"/>
      <c r="H10" s="408"/>
      <c r="I10" s="406"/>
      <c r="J10" s="407"/>
      <c r="K10" s="408"/>
      <c r="L10" s="406"/>
      <c r="M10" s="407"/>
      <c r="N10" s="408"/>
      <c r="O10" s="406"/>
      <c r="P10" s="407"/>
      <c r="Q10" s="408"/>
      <c r="R10" s="406"/>
      <c r="S10" s="407"/>
      <c r="T10" s="408"/>
      <c r="U10" s="406"/>
      <c r="V10" s="407"/>
      <c r="W10" s="408"/>
      <c r="X10" s="406"/>
      <c r="Y10" s="407"/>
      <c r="Z10" s="408"/>
      <c r="AA10" s="406"/>
      <c r="AB10" s="407"/>
      <c r="AC10" s="408"/>
      <c r="AD10" s="406"/>
      <c r="AE10" s="407"/>
      <c r="AF10" s="408"/>
      <c r="AG10" s="412"/>
      <c r="AH10" s="412"/>
      <c r="AI10" s="412"/>
      <c r="AJ10" s="406"/>
      <c r="AK10" s="407"/>
      <c r="AL10" s="408"/>
      <c r="AM10" s="406"/>
      <c r="AN10" s="407"/>
      <c r="AO10" s="408"/>
      <c r="AP10" s="406"/>
      <c r="AQ10" s="407"/>
      <c r="AR10" s="408"/>
      <c r="AS10" s="406"/>
      <c r="AT10" s="407"/>
      <c r="AU10" s="408"/>
      <c r="AV10" s="406"/>
      <c r="AW10" s="407"/>
      <c r="AX10" s="408"/>
      <c r="AY10" s="406"/>
      <c r="AZ10" s="407"/>
      <c r="BA10" s="408"/>
      <c r="BB10" s="406"/>
      <c r="BC10" s="407"/>
      <c r="BD10" s="408"/>
      <c r="BE10" s="406"/>
      <c r="BF10" s="407"/>
      <c r="BG10" s="408"/>
      <c r="BH10" s="406"/>
      <c r="BI10" s="407"/>
      <c r="BJ10" s="408"/>
      <c r="BK10" s="406"/>
      <c r="BL10" s="407"/>
      <c r="BM10" s="408"/>
      <c r="BN10" s="406"/>
      <c r="BO10" s="407"/>
      <c r="BP10" s="408"/>
      <c r="BQ10" s="406"/>
      <c r="BR10" s="407"/>
      <c r="BS10" s="408"/>
      <c r="BT10" s="406"/>
      <c r="BU10" s="407"/>
      <c r="BV10" s="408"/>
      <c r="BW10" s="406"/>
      <c r="BX10" s="407"/>
      <c r="BY10" s="407"/>
      <c r="BZ10" s="412"/>
      <c r="CA10" s="412"/>
      <c r="CB10" s="412"/>
      <c r="CC10" s="406"/>
      <c r="CD10" s="407"/>
      <c r="CE10" s="408"/>
      <c r="CF10" s="406"/>
      <c r="CG10" s="407"/>
      <c r="CH10" s="408"/>
      <c r="CI10" s="406"/>
      <c r="CJ10" s="407"/>
      <c r="CK10" s="408"/>
      <c r="CL10" s="406"/>
      <c r="CM10" s="407"/>
      <c r="CN10" s="408"/>
      <c r="CO10" s="406"/>
      <c r="CP10" s="407"/>
      <c r="CQ10" s="408"/>
      <c r="CR10" s="406"/>
      <c r="CS10" s="407"/>
      <c r="CT10" s="408"/>
      <c r="CU10" s="406"/>
      <c r="CV10" s="407"/>
      <c r="CW10" s="408"/>
      <c r="CX10" s="406"/>
      <c r="CY10" s="407"/>
      <c r="CZ10" s="408"/>
      <c r="DA10" s="406"/>
      <c r="DB10" s="407"/>
      <c r="DC10" s="408"/>
      <c r="DD10" s="412"/>
      <c r="DE10" s="412"/>
      <c r="DF10" s="412"/>
      <c r="DG10" s="406"/>
      <c r="DH10" s="407"/>
      <c r="DI10" s="408"/>
      <c r="DJ10" s="434"/>
      <c r="DK10" s="435"/>
      <c r="DL10" s="436"/>
      <c r="DM10" s="344"/>
      <c r="DN10" s="345"/>
      <c r="DO10" s="345"/>
      <c r="DP10" s="347"/>
      <c r="DQ10" s="347"/>
      <c r="DR10" s="347"/>
      <c r="DS10" s="345"/>
      <c r="DT10" s="345"/>
      <c r="DU10" s="345"/>
      <c r="DV10" s="345"/>
      <c r="DW10" s="345"/>
      <c r="DX10" s="346"/>
      <c r="DY10" s="434"/>
      <c r="DZ10" s="435"/>
      <c r="EA10" s="436"/>
      <c r="EB10" s="434"/>
      <c r="EC10" s="435"/>
      <c r="ED10" s="436"/>
      <c r="EE10" s="434"/>
      <c r="EF10" s="435"/>
      <c r="EG10" s="436"/>
      <c r="EH10" s="434"/>
      <c r="EI10" s="435"/>
      <c r="EJ10" s="436"/>
      <c r="EK10" s="406"/>
      <c r="EL10" s="407"/>
      <c r="EM10" s="408"/>
      <c r="EN10" s="406"/>
      <c r="EO10" s="407"/>
      <c r="EP10" s="408"/>
      <c r="EQ10" s="406"/>
      <c r="ER10" s="407"/>
      <c r="ES10" s="408"/>
      <c r="ET10" s="412"/>
      <c r="EU10" s="412"/>
      <c r="EV10" s="412"/>
      <c r="EW10" s="406"/>
      <c r="EX10" s="407"/>
      <c r="EY10" s="408"/>
    </row>
    <row r="11" spans="1:159" s="169" customFormat="1" ht="177.75" customHeight="1">
      <c r="A11" s="412"/>
      <c r="B11" s="412"/>
      <c r="C11" s="409"/>
      <c r="D11" s="410"/>
      <c r="E11" s="422"/>
      <c r="F11" s="409"/>
      <c r="G11" s="410"/>
      <c r="H11" s="411"/>
      <c r="I11" s="409"/>
      <c r="J11" s="410"/>
      <c r="K11" s="411"/>
      <c r="L11" s="409"/>
      <c r="M11" s="410"/>
      <c r="N11" s="411"/>
      <c r="O11" s="409"/>
      <c r="P11" s="410"/>
      <c r="Q11" s="411"/>
      <c r="R11" s="409"/>
      <c r="S11" s="410"/>
      <c r="T11" s="411"/>
      <c r="U11" s="409"/>
      <c r="V11" s="410"/>
      <c r="W11" s="411"/>
      <c r="X11" s="409"/>
      <c r="Y11" s="410"/>
      <c r="Z11" s="411"/>
      <c r="AA11" s="409"/>
      <c r="AB11" s="410"/>
      <c r="AC11" s="411"/>
      <c r="AD11" s="409"/>
      <c r="AE11" s="410"/>
      <c r="AF11" s="411"/>
      <c r="AG11" s="412"/>
      <c r="AH11" s="412"/>
      <c r="AI11" s="412"/>
      <c r="AJ11" s="409"/>
      <c r="AK11" s="410"/>
      <c r="AL11" s="411"/>
      <c r="AM11" s="409"/>
      <c r="AN11" s="410"/>
      <c r="AO11" s="411"/>
      <c r="AP11" s="409"/>
      <c r="AQ11" s="410"/>
      <c r="AR11" s="411"/>
      <c r="AS11" s="409"/>
      <c r="AT11" s="410"/>
      <c r="AU11" s="411"/>
      <c r="AV11" s="409"/>
      <c r="AW11" s="410"/>
      <c r="AX11" s="411"/>
      <c r="AY11" s="409"/>
      <c r="AZ11" s="410"/>
      <c r="BA11" s="411"/>
      <c r="BB11" s="409"/>
      <c r="BC11" s="410"/>
      <c r="BD11" s="411"/>
      <c r="BE11" s="409"/>
      <c r="BF11" s="410"/>
      <c r="BG11" s="411"/>
      <c r="BH11" s="409"/>
      <c r="BI11" s="410"/>
      <c r="BJ11" s="411"/>
      <c r="BK11" s="409"/>
      <c r="BL11" s="410"/>
      <c r="BM11" s="411"/>
      <c r="BN11" s="409"/>
      <c r="BO11" s="410"/>
      <c r="BP11" s="411"/>
      <c r="BQ11" s="409"/>
      <c r="BR11" s="410"/>
      <c r="BS11" s="411"/>
      <c r="BT11" s="409"/>
      <c r="BU11" s="410"/>
      <c r="BV11" s="411"/>
      <c r="BW11" s="409"/>
      <c r="BX11" s="410"/>
      <c r="BY11" s="410"/>
      <c r="BZ11" s="412"/>
      <c r="CA11" s="412"/>
      <c r="CB11" s="412"/>
      <c r="CC11" s="409"/>
      <c r="CD11" s="410"/>
      <c r="CE11" s="411"/>
      <c r="CF11" s="409"/>
      <c r="CG11" s="410"/>
      <c r="CH11" s="411"/>
      <c r="CI11" s="409"/>
      <c r="CJ11" s="410"/>
      <c r="CK11" s="411"/>
      <c r="CL11" s="409"/>
      <c r="CM11" s="410"/>
      <c r="CN11" s="411"/>
      <c r="CO11" s="409"/>
      <c r="CP11" s="410"/>
      <c r="CQ11" s="411"/>
      <c r="CR11" s="409"/>
      <c r="CS11" s="410"/>
      <c r="CT11" s="411"/>
      <c r="CU11" s="409"/>
      <c r="CV11" s="410"/>
      <c r="CW11" s="411"/>
      <c r="CX11" s="409"/>
      <c r="CY11" s="410"/>
      <c r="CZ11" s="411"/>
      <c r="DA11" s="409"/>
      <c r="DB11" s="410"/>
      <c r="DC11" s="411"/>
      <c r="DD11" s="412"/>
      <c r="DE11" s="412"/>
      <c r="DF11" s="412"/>
      <c r="DG11" s="409"/>
      <c r="DH11" s="410"/>
      <c r="DI11" s="411"/>
      <c r="DJ11" s="428"/>
      <c r="DK11" s="429"/>
      <c r="DL11" s="430"/>
      <c r="DM11" s="428" t="s">
        <v>173</v>
      </c>
      <c r="DN11" s="429"/>
      <c r="DO11" s="430"/>
      <c r="DP11" s="425" t="s">
        <v>174</v>
      </c>
      <c r="DQ11" s="426"/>
      <c r="DR11" s="427"/>
      <c r="DS11" s="428" t="s">
        <v>175</v>
      </c>
      <c r="DT11" s="429"/>
      <c r="DU11" s="430"/>
      <c r="DV11" s="428" t="s">
        <v>250</v>
      </c>
      <c r="DW11" s="429"/>
      <c r="DX11" s="430"/>
      <c r="DY11" s="428"/>
      <c r="DZ11" s="429"/>
      <c r="EA11" s="430"/>
      <c r="EB11" s="428"/>
      <c r="EC11" s="429"/>
      <c r="ED11" s="430"/>
      <c r="EE11" s="428"/>
      <c r="EF11" s="429"/>
      <c r="EG11" s="430"/>
      <c r="EH11" s="428"/>
      <c r="EI11" s="429"/>
      <c r="EJ11" s="430"/>
      <c r="EK11" s="409"/>
      <c r="EL11" s="410"/>
      <c r="EM11" s="411"/>
      <c r="EN11" s="409"/>
      <c r="EO11" s="410"/>
      <c r="EP11" s="411"/>
      <c r="EQ11" s="409"/>
      <c r="ER11" s="410"/>
      <c r="ES11" s="411"/>
      <c r="ET11" s="412"/>
      <c r="EU11" s="412"/>
      <c r="EV11" s="412"/>
      <c r="EW11" s="409"/>
      <c r="EX11" s="410"/>
      <c r="EY11" s="411"/>
      <c r="FA11" s="174"/>
      <c r="FB11" s="174"/>
      <c r="FC11" s="174"/>
    </row>
    <row r="12" spans="1:159" s="169" customFormat="1" ht="42.75" customHeight="1">
      <c r="A12" s="412"/>
      <c r="B12" s="412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183">
        <f>F14+BZ14</f>
        <v>3209.4109999999996</v>
      </c>
      <c r="D14" s="296">
        <f t="shared" ref="D14:D29" si="0">G14+CA14+CY14</f>
        <v>534.63934999999992</v>
      </c>
      <c r="E14" s="184">
        <f t="shared" ref="E14:E29" si="1">D14/C14*100</f>
        <v>16.658488115108973</v>
      </c>
      <c r="F14" s="185">
        <f t="shared" ref="F14:F29" si="2">I14+X14+AA14+AD14+AG14+AM14+AS14+BE14+BQ14+BN14+AJ14+AY14+L14+R14+O14+U14+AP14</f>
        <v>572.89</v>
      </c>
      <c r="G14" s="185">
        <f t="shared" ref="G14:G29" si="3">J14+Y14+AB14+AE14+AH14+AN14+AT14+BF14+AK14+BR14+BO14+AZ14+M14+S14+P14+V14+AQ14</f>
        <v>89.303939999999983</v>
      </c>
      <c r="H14" s="184">
        <f>G14/F14*100</f>
        <v>15.588322365550104</v>
      </c>
      <c r="I14" s="302">
        <f>Але!C6</f>
        <v>59</v>
      </c>
      <c r="J14" s="302">
        <f>Але!D6</f>
        <v>17.644179999999999</v>
      </c>
      <c r="K14" s="184">
        <f>J14/I14*100</f>
        <v>29.905389830508472</v>
      </c>
      <c r="L14" s="184">
        <f>Але!C8</f>
        <v>82.02</v>
      </c>
      <c r="M14" s="184">
        <f>Але!D8</f>
        <v>21.146409999999999</v>
      </c>
      <c r="N14" s="184">
        <f>M14/L14*100</f>
        <v>25.782016581321631</v>
      </c>
      <c r="O14" s="184">
        <f>Але!C9</f>
        <v>0.88</v>
      </c>
      <c r="P14" s="184">
        <f>Але!D9</f>
        <v>0.14255000000000001</v>
      </c>
      <c r="Q14" s="184">
        <f>P14/O14*100</f>
        <v>16.198863636363637</v>
      </c>
      <c r="R14" s="184">
        <f>Але!C10</f>
        <v>136.99</v>
      </c>
      <c r="S14" s="184">
        <f>Але!D10</f>
        <v>34.44567</v>
      </c>
      <c r="T14" s="184">
        <f>S14/R14*100</f>
        <v>25.144660194174755</v>
      </c>
      <c r="U14" s="184">
        <f>Але!C11</f>
        <v>0</v>
      </c>
      <c r="V14" s="184">
        <f>Але!D11</f>
        <v>-4.4063499999999998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30</v>
      </c>
      <c r="AB14" s="186">
        <f>Але!D15</f>
        <v>1.38588</v>
      </c>
      <c r="AC14" s="184">
        <f>AB14/AA14*100</f>
        <v>4.6196000000000002</v>
      </c>
      <c r="AD14" s="186">
        <f>Але!C16</f>
        <v>200</v>
      </c>
      <c r="AE14" s="186">
        <f>Але!D16</f>
        <v>16.595599999999997</v>
      </c>
      <c r="AF14" s="184">
        <f t="shared" ref="AF14:AF29" si="4">AE14/AD14*100</f>
        <v>8.2977999999999987</v>
      </c>
      <c r="AG14" s="184">
        <f>Але!C18</f>
        <v>3</v>
      </c>
      <c r="AH14" s="184">
        <f>Але!D18</f>
        <v>2.35</v>
      </c>
      <c r="AI14" s="184">
        <f>AH14/AG14*100</f>
        <v>78.333333333333329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186">
        <f>Але!D27</f>
        <v>0</v>
      </c>
      <c r="AR14" s="184">
        <f>AQ14/AP14*100</f>
        <v>0</v>
      </c>
      <c r="AS14" s="188">
        <f>Але!C28</f>
        <v>0</v>
      </c>
      <c r="AT14" s="186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184"/>
      <c r="BP14" s="184" t="e">
        <f>BO14/BN14*100</f>
        <v>#DIV/0!</v>
      </c>
      <c r="BQ14" s="184">
        <f>Але!C34</f>
        <v>0</v>
      </c>
      <c r="BR14" s="184">
        <f>Але!D34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2636.5209999999997</v>
      </c>
      <c r="CA14" s="186">
        <f>CD14+CG14+CJ14+CM14+CS14+CP14+CV14</f>
        <v>445.33540999999997</v>
      </c>
      <c r="CB14" s="184">
        <f>CA14/BZ14*100</f>
        <v>16.891024573671139</v>
      </c>
      <c r="CC14" s="187">
        <f>Але!C39</f>
        <v>1186.885</v>
      </c>
      <c r="CD14" s="187">
        <f>Але!D39</f>
        <v>384.78</v>
      </c>
      <c r="CE14" s="184">
        <f>CD14/CC14*100</f>
        <v>32.419316108974328</v>
      </c>
      <c r="CF14" s="184">
        <f>Але!C40</f>
        <v>675</v>
      </c>
      <c r="CG14" s="184">
        <f>Але!D40</f>
        <v>45</v>
      </c>
      <c r="CH14" s="184">
        <f>CG14/CF14*100</f>
        <v>6.666666666666667</v>
      </c>
      <c r="CI14" s="184">
        <f>Але!C41</f>
        <v>562.34</v>
      </c>
      <c r="CJ14" s="184">
        <f>Але!D41</f>
        <v>0</v>
      </c>
      <c r="CK14" s="184">
        <f t="shared" ref="CK14:CK29" si="7">CJ14/CI14*100</f>
        <v>0</v>
      </c>
      <c r="CL14" s="184">
        <f>Але!C42</f>
        <v>72.296000000000006</v>
      </c>
      <c r="CM14" s="184">
        <f>Але!D42</f>
        <v>17.722999999999999</v>
      </c>
      <c r="CN14" s="184">
        <f t="shared" ref="CN14:CN31" si="8">CM14/CL14*100</f>
        <v>24.514495961049018</v>
      </c>
      <c r="CO14" s="184"/>
      <c r="CP14" s="184">
        <f>Але!D43</f>
        <v>0</v>
      </c>
      <c r="CQ14" s="184"/>
      <c r="CR14" s="184">
        <f>Але!C43</f>
        <v>140</v>
      </c>
      <c r="CS14" s="184"/>
      <c r="CT14" s="184">
        <f t="shared" ref="CT14:CT31" si="9">CS14/CR14*100</f>
        <v>0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3233.0465399999998</v>
      </c>
      <c r="DH14" s="186">
        <f>DK14+DZ14+EC14+EF14+EI14+EL14+EO14+ER14+EU14</f>
        <v>300.01885000000004</v>
      </c>
      <c r="DI14" s="184">
        <f>DH14/DG14*100</f>
        <v>9.2797566099991879</v>
      </c>
      <c r="DJ14" s="186">
        <f>DM14+DP14+DS14+DV14</f>
        <v>1058.924</v>
      </c>
      <c r="DK14" s="186">
        <f>DN14+DQ14+DT14+DW14</f>
        <v>211.62047000000001</v>
      </c>
      <c r="DL14" s="184">
        <f>DK14/DJ14*100</f>
        <v>19.984481416985545</v>
      </c>
      <c r="DM14" s="184">
        <f>Але!C54</f>
        <v>1051.585</v>
      </c>
      <c r="DN14" s="184">
        <f>Але!D54</f>
        <v>211.62047000000001</v>
      </c>
      <c r="DO14" s="184">
        <f>DN14/DM14*100</f>
        <v>20.123952890161043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2.339</v>
      </c>
      <c r="DW14" s="184">
        <f>Але!D59</f>
        <v>0</v>
      </c>
      <c r="DX14" s="184">
        <f>DW14/DV14*100</f>
        <v>0</v>
      </c>
      <c r="DY14" s="184">
        <f>Але!C61</f>
        <v>70.596000000000004</v>
      </c>
      <c r="DZ14" s="184">
        <f>Але!D61</f>
        <v>13.55072</v>
      </c>
      <c r="EA14" s="184">
        <f>DZ14/DY14*100</f>
        <v>19.194741911723042</v>
      </c>
      <c r="EB14" s="184">
        <f>Але!C62</f>
        <v>4</v>
      </c>
      <c r="EC14" s="184">
        <f>Але!D62</f>
        <v>0</v>
      </c>
      <c r="ED14" s="184">
        <f>EC14/EB14*100</f>
        <v>0</v>
      </c>
      <c r="EE14" s="186">
        <f>Але!C67</f>
        <v>979.41553999999996</v>
      </c>
      <c r="EF14" s="186">
        <f>Але!D67</f>
        <v>0</v>
      </c>
      <c r="EG14" s="184">
        <f>EF14/EE14*100</f>
        <v>0</v>
      </c>
      <c r="EH14" s="186">
        <f>Але!C72</f>
        <v>249.61099999999999</v>
      </c>
      <c r="EI14" s="186">
        <f>Але!D72</f>
        <v>13.707660000000001</v>
      </c>
      <c r="EJ14" s="184">
        <f>EI14/EH14*100</f>
        <v>5.4916089435161117</v>
      </c>
      <c r="EK14" s="186">
        <f>Але!C76</f>
        <v>865.5</v>
      </c>
      <c r="EL14" s="190">
        <f>Але!D76</f>
        <v>61.14</v>
      </c>
      <c r="EM14" s="184">
        <f t="shared" ref="EM14:EM29" si="10">EL14/EK14*100</f>
        <v>7.0641247833622192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5</v>
      </c>
      <c r="ER14" s="185">
        <f>Але!D83</f>
        <v>0</v>
      </c>
      <c r="ES14" s="184">
        <f>ER14/EQ14*100</f>
        <v>0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-23.635540000000219</v>
      </c>
      <c r="EX14" s="191">
        <f t="shared" ref="EX14:EX29" si="13">SUM(D14-DH14)</f>
        <v>234.62049999999988</v>
      </c>
      <c r="EY14" s="184">
        <f>EX14/EW14*100%</f>
        <v>-9.926597826831868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183">
        <f t="shared" ref="C15:C29" si="14">F15+BZ15</f>
        <v>10065.785</v>
      </c>
      <c r="D15" s="296">
        <f t="shared" si="0"/>
        <v>2529.2507100000003</v>
      </c>
      <c r="E15" s="187">
        <f t="shared" si="1"/>
        <v>25.127207763726329</v>
      </c>
      <c r="F15" s="185">
        <f t="shared" si="2"/>
        <v>3511.2200000000003</v>
      </c>
      <c r="G15" s="185">
        <f t="shared" si="3"/>
        <v>906.66174000000001</v>
      </c>
      <c r="H15" s="187">
        <f t="shared" ref="H15:H29" si="15">G15/F15*100</f>
        <v>25.821843689657726</v>
      </c>
      <c r="I15" s="195">
        <f>Сун!C6</f>
        <v>482.9</v>
      </c>
      <c r="J15" s="195">
        <f>Сун!D6</f>
        <v>89.635199999999998</v>
      </c>
      <c r="K15" s="187">
        <f t="shared" ref="K15:K29" si="16">J15/I15*100</f>
        <v>18.561855456616279</v>
      </c>
      <c r="L15" s="187">
        <f>Сун!C8</f>
        <v>208.63</v>
      </c>
      <c r="M15" s="187">
        <f>Сун!D8</f>
        <v>53.789900000000003</v>
      </c>
      <c r="N15" s="184">
        <f t="shared" ref="N15:N29" si="17">M15/L15*100</f>
        <v>25.782437808560609</v>
      </c>
      <c r="O15" s="184">
        <f>Сун!C9</f>
        <v>2.2000000000000002</v>
      </c>
      <c r="P15" s="184">
        <f>Сун!D9</f>
        <v>0.36260999999999999</v>
      </c>
      <c r="Q15" s="184">
        <f t="shared" ref="Q15:Q29" si="18">P15/O15*100</f>
        <v>16.482272727272726</v>
      </c>
      <c r="R15" s="184">
        <f>Сун!C10</f>
        <v>348.49</v>
      </c>
      <c r="S15" s="184">
        <f>Сун!D10</f>
        <v>87.619069999999994</v>
      </c>
      <c r="T15" s="184">
        <f t="shared" ref="T15:T29" si="19">S15/R15*100</f>
        <v>25.142491893598091</v>
      </c>
      <c r="U15" s="184">
        <f>Сун!C11</f>
        <v>0</v>
      </c>
      <c r="V15" s="184">
        <f>Сун!D11</f>
        <v>-11.208399999999999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23.3748</v>
      </c>
      <c r="Z15" s="187">
        <f t="shared" ref="Z15:Z29" si="21">Y15/X15*100</f>
        <v>58.437000000000005</v>
      </c>
      <c r="AA15" s="195">
        <f>Сун!C15</f>
        <v>295</v>
      </c>
      <c r="AB15" s="195">
        <f>Сун!D15</f>
        <v>18.094829999999998</v>
      </c>
      <c r="AC15" s="187">
        <f t="shared" ref="AC15:AC29" si="22">AB15/AA15*100</f>
        <v>6.1338406779661003</v>
      </c>
      <c r="AD15" s="195">
        <f>Сун!C16</f>
        <v>1250</v>
      </c>
      <c r="AE15" s="195">
        <f>Сун!D16</f>
        <v>117.77663</v>
      </c>
      <c r="AF15" s="187">
        <f t="shared" si="4"/>
        <v>9.4221303999999986</v>
      </c>
      <c r="AG15" s="187">
        <f>Сун!C18</f>
        <v>12</v>
      </c>
      <c r="AH15" s="187">
        <f>Сун!D18</f>
        <v>3.2</v>
      </c>
      <c r="AI15" s="187">
        <f t="shared" ref="AI15:AI31" si="23">AH15/AG15*100</f>
        <v>26.666666666666668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195">
        <f>Сун!D28</f>
        <v>0</v>
      </c>
      <c r="AR15" s="187">
        <f t="shared" ref="AR15:AR29" si="24">AQ15/AP15*100</f>
        <v>0</v>
      </c>
      <c r="AS15" s="188">
        <f>Сун!C29</f>
        <v>86</v>
      </c>
      <c r="AT15" s="195">
        <f>Сун!D29</f>
        <v>10.115</v>
      </c>
      <c r="AU15" s="187">
        <f t="shared" ref="AU15:AU29" si="25">AT15/AS15*100</f>
        <v>11.761627906976745</v>
      </c>
      <c r="AV15" s="195"/>
      <c r="AW15" s="195"/>
      <c r="AX15" s="187" t="e">
        <f t="shared" ref="AX15:AX29" si="26">AW15/AV15*100</f>
        <v>#DIV/0!</v>
      </c>
      <c r="AY15" s="187">
        <f>Сун!C31</f>
        <v>0</v>
      </c>
      <c r="AZ15" s="187">
        <f>Сун!D31</f>
        <v>39.902099999999997</v>
      </c>
      <c r="BA15" s="187" t="e">
        <f t="shared" ref="BA15:BA31" si="27">AZ15/AY15*100</f>
        <v>#DIV/0!</v>
      </c>
      <c r="BB15" s="187"/>
      <c r="BC15" s="187"/>
      <c r="BD15" s="187"/>
      <c r="BE15" s="187">
        <f>Сун!C32</f>
        <v>586</v>
      </c>
      <c r="BF15" s="187">
        <f>Сун!D32</f>
        <v>474</v>
      </c>
      <c r="BG15" s="187">
        <f t="shared" ref="BG15:BG31" si="28">BF15/BE15*100</f>
        <v>80.887372013651884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187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6554.5649999999996</v>
      </c>
      <c r="CA15" s="186">
        <f t="shared" ref="CA15:CA22" si="35">CD15+CG15+CJ15+CM15+CS15+CP15</f>
        <v>1622.58897</v>
      </c>
      <c r="CB15" s="187">
        <f>CA15/BZ15*100</f>
        <v>24.755097706712803</v>
      </c>
      <c r="CC15" s="187">
        <f>Сун!C42</f>
        <v>3549.1409999999996</v>
      </c>
      <c r="CD15" s="187">
        <f>Сун!D42</f>
        <v>1176.7280000000001</v>
      </c>
      <c r="CE15" s="187">
        <f t="shared" ref="CE15:CE29" si="36">CD15/CC15*100</f>
        <v>33.155290251922935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8">
        <f>Сун!C44</f>
        <v>2442.54</v>
      </c>
      <c r="CJ15" s="187">
        <f>Сун!D44</f>
        <v>0</v>
      </c>
      <c r="CK15" s="187">
        <f t="shared" si="7"/>
        <v>0</v>
      </c>
      <c r="CL15" s="187">
        <f>Сун!C46</f>
        <v>153.28100000000001</v>
      </c>
      <c r="CM15" s="187">
        <f>Сун!D46</f>
        <v>36.26</v>
      </c>
      <c r="CN15" s="187">
        <f t="shared" si="8"/>
        <v>23.655899948460668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10143.555549999999</v>
      </c>
      <c r="DH15" s="195">
        <f t="shared" ref="DG15:DH29" si="39">DK15+DZ15+EC15+EF15+EI15+EL15+EO15+ER15+EU15</f>
        <v>1445.06413</v>
      </c>
      <c r="DI15" s="187">
        <f t="shared" ref="DI15:DI29" si="40">DH15/DG15*100</f>
        <v>14.246130194456322</v>
      </c>
      <c r="DJ15" s="195">
        <f>DM15+DP15+DS15+DV15</f>
        <v>1844.548</v>
      </c>
      <c r="DK15" s="195">
        <f t="shared" ref="DJ15:DK29" si="41">DN15+DQ15+DT15+DW15</f>
        <v>312.66962999999998</v>
      </c>
      <c r="DL15" s="187">
        <f t="shared" ref="DL15:DL29" si="42">DK15/DJ15*100</f>
        <v>16.951016183910635</v>
      </c>
      <c r="DM15" s="187">
        <f>Сун!C59</f>
        <v>1834.5409999999999</v>
      </c>
      <c r="DN15" s="187">
        <f>Сун!D59</f>
        <v>312.66962999999998</v>
      </c>
      <c r="DO15" s="187">
        <f t="shared" ref="DO15:DO29" si="43">DN15/DM15*100</f>
        <v>17.043480085754421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5.0069999999999997</v>
      </c>
      <c r="DW15" s="187">
        <f>Сун!D64</f>
        <v>0</v>
      </c>
      <c r="DX15" s="187">
        <f t="shared" ref="DX15:DX29" si="46">DW15/DV15*100</f>
        <v>0</v>
      </c>
      <c r="DY15" s="187">
        <f>Сун!C66</f>
        <v>150.881</v>
      </c>
      <c r="DZ15" s="187">
        <f>Сун!D66</f>
        <v>29.512</v>
      </c>
      <c r="EA15" s="187">
        <f t="shared" ref="EA15:EA31" si="47">DZ15/DY15*100</f>
        <v>19.559785526341951</v>
      </c>
      <c r="EB15" s="187">
        <f>Сун!C67</f>
        <v>4</v>
      </c>
      <c r="EC15" s="187">
        <f>Сун!D67</f>
        <v>0</v>
      </c>
      <c r="ED15" s="187">
        <f t="shared" ref="ED15:ED31" si="48">EC15/EB15*100</f>
        <v>0</v>
      </c>
      <c r="EE15" s="195">
        <f>Сун!C72</f>
        <v>3292.2885499999998</v>
      </c>
      <c r="EF15" s="195">
        <f>Сун!D72</f>
        <v>340.52048000000002</v>
      </c>
      <c r="EG15" s="187">
        <f t="shared" ref="EG15:EG29" si="49">EF15/EE15*100</f>
        <v>10.342971912349542</v>
      </c>
      <c r="EH15" s="195">
        <f>Сун!C77</f>
        <v>1187.8699999999999</v>
      </c>
      <c r="EI15" s="195">
        <f>Сун!D77</f>
        <v>120.56179</v>
      </c>
      <c r="EJ15" s="187">
        <f t="shared" ref="EJ15:EJ29" si="50">EI15/EH15*100</f>
        <v>10.149409447161728</v>
      </c>
      <c r="EK15" s="195">
        <f>Сун!C82</f>
        <v>3643.9679999999998</v>
      </c>
      <c r="EL15" s="197">
        <f>Сун!D82</f>
        <v>629.37522999999999</v>
      </c>
      <c r="EM15" s="187">
        <f t="shared" si="10"/>
        <v>17.271700245446723</v>
      </c>
      <c r="EN15" s="187">
        <f>Сун!C85</f>
        <v>0</v>
      </c>
      <c r="EO15" s="187">
        <f>Сун!D85</f>
        <v>0</v>
      </c>
      <c r="EP15" s="187" t="e">
        <f t="shared" si="11"/>
        <v>#DIV/0!</v>
      </c>
      <c r="EQ15" s="198">
        <f>Сун!C90</f>
        <v>20</v>
      </c>
      <c r="ER15" s="198">
        <f>Сун!D90</f>
        <v>12.425000000000001</v>
      </c>
      <c r="ES15" s="187">
        <f t="shared" ref="ES15:ES29" si="51">ER15/EQ15*100</f>
        <v>62.125000000000007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-77.770549999999275</v>
      </c>
      <c r="EX15" s="191">
        <f t="shared" si="13"/>
        <v>1084.1865800000003</v>
      </c>
      <c r="EY15" s="184">
        <f>EX15/EW15*100%</f>
        <v>-13.940837244946968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296">
        <f t="shared" si="14"/>
        <v>10790.788390000002</v>
      </c>
      <c r="D16" s="296">
        <f t="shared" si="0"/>
        <v>955.64661999999998</v>
      </c>
      <c r="E16" s="187">
        <f t="shared" si="1"/>
        <v>8.8561334488369106</v>
      </c>
      <c r="F16" s="185">
        <f t="shared" si="2"/>
        <v>1709.85</v>
      </c>
      <c r="G16" s="185">
        <f t="shared" si="3"/>
        <v>246.62262000000001</v>
      </c>
      <c r="H16" s="187">
        <f t="shared" si="15"/>
        <v>14.423640670234233</v>
      </c>
      <c r="I16" s="303">
        <f>Иль!C6</f>
        <v>82.1</v>
      </c>
      <c r="J16" s="303">
        <f>Иль!D6</f>
        <v>24.897929999999999</v>
      </c>
      <c r="K16" s="187">
        <f t="shared" si="16"/>
        <v>30.326345919610233</v>
      </c>
      <c r="L16" s="187">
        <f>Иль!C8</f>
        <v>222.96</v>
      </c>
      <c r="M16" s="187">
        <f>Иль!D8</f>
        <v>57.485390000000002</v>
      </c>
      <c r="N16" s="184">
        <f t="shared" si="17"/>
        <v>25.782826515966988</v>
      </c>
      <c r="O16" s="184">
        <f>Иль!C9</f>
        <v>2.4</v>
      </c>
      <c r="P16" s="184">
        <f>Иль!D9</f>
        <v>0.38754</v>
      </c>
      <c r="Q16" s="184">
        <f t="shared" si="18"/>
        <v>16.147500000000001</v>
      </c>
      <c r="R16" s="184">
        <f>Иль!C10</f>
        <v>372.39</v>
      </c>
      <c r="S16" s="184">
        <f>Иль!D10</f>
        <v>93.638670000000005</v>
      </c>
      <c r="T16" s="184">
        <f t="shared" si="19"/>
        <v>25.145323451220499</v>
      </c>
      <c r="U16" s="184">
        <f>Иль!C11</f>
        <v>0</v>
      </c>
      <c r="V16" s="184">
        <f>Иль!D11</f>
        <v>-11.978440000000001</v>
      </c>
      <c r="W16" s="184" t="e">
        <f t="shared" si="20"/>
        <v>#DIV/0!</v>
      </c>
      <c r="X16" s="195">
        <f>Иль!C13</f>
        <v>10</v>
      </c>
      <c r="Y16" s="195">
        <f>Иль!D13</f>
        <v>0.1452</v>
      </c>
      <c r="Z16" s="187">
        <f t="shared" si="21"/>
        <v>1.452</v>
      </c>
      <c r="AA16" s="195">
        <f>Иль!C15</f>
        <v>110</v>
      </c>
      <c r="AB16" s="195">
        <f>Иль!D15</f>
        <v>21.76191</v>
      </c>
      <c r="AC16" s="187">
        <f t="shared" si="22"/>
        <v>19.783554545454546</v>
      </c>
      <c r="AD16" s="195">
        <f>Иль!C16</f>
        <v>785</v>
      </c>
      <c r="AE16" s="195">
        <f>Иль!D16</f>
        <v>52.633970000000005</v>
      </c>
      <c r="AF16" s="187">
        <f t="shared" si="4"/>
        <v>6.7049643312101921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195">
        <f>Иль!D28</f>
        <v>0</v>
      </c>
      <c r="AR16" s="187">
        <f t="shared" si="24"/>
        <v>0</v>
      </c>
      <c r="AS16" s="188">
        <f>Иль!C29</f>
        <v>20</v>
      </c>
      <c r="AT16" s="195">
        <f>Иль!D29</f>
        <v>7.6504500000000002</v>
      </c>
      <c r="AU16" s="187">
        <f t="shared" si="25"/>
        <v>38.252249999999997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187">
        <f>Иль!D35</f>
        <v>0</v>
      </c>
      <c r="BP16" s="187" t="e">
        <f t="shared" si="30"/>
        <v>#DIV/0!</v>
      </c>
      <c r="BQ16" s="187">
        <f>Иль!C37</f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9080.9383900000012</v>
      </c>
      <c r="CA16" s="186">
        <f t="shared" si="35"/>
        <v>709.024</v>
      </c>
      <c r="CB16" s="187">
        <f>CA16/BZ16*100</f>
        <v>7.8078274463439001</v>
      </c>
      <c r="CC16" s="187">
        <f>Иль!C42</f>
        <v>1957.701</v>
      </c>
      <c r="CD16" s="187">
        <f>Иль!D42</f>
        <v>647.76400000000001</v>
      </c>
      <c r="CE16" s="187">
        <f t="shared" si="36"/>
        <v>33.08799454053505</v>
      </c>
      <c r="CF16" s="187">
        <f>Иль!C43</f>
        <v>320</v>
      </c>
      <c r="CG16" s="187">
        <f>Иль!D43</f>
        <v>25</v>
      </c>
      <c r="CH16" s="187">
        <f t="shared" si="37"/>
        <v>7.8125</v>
      </c>
      <c r="CI16" s="184">
        <f>Иль!C44</f>
        <v>6649.9563900000003</v>
      </c>
      <c r="CJ16" s="187">
        <f>Иль!D44</f>
        <v>0</v>
      </c>
      <c r="CK16" s="187">
        <f t="shared" si="7"/>
        <v>0</v>
      </c>
      <c r="CL16" s="187">
        <f>Иль!C46</f>
        <v>153.28100000000001</v>
      </c>
      <c r="CM16" s="187">
        <f>Иль!D46</f>
        <v>36.26</v>
      </c>
      <c r="CN16" s="187">
        <f t="shared" si="8"/>
        <v>23.655899948460668</v>
      </c>
      <c r="CO16" s="187">
        <f>Иль!C47</f>
        <v>0</v>
      </c>
      <c r="CP16" s="187">
        <f>Иль!D47</f>
        <v>0</v>
      </c>
      <c r="CQ16" s="187"/>
      <c r="CR16" s="187"/>
      <c r="CS16" s="187"/>
      <c r="CT16" s="187" t="e">
        <f t="shared" si="9"/>
        <v>#DIV/0!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10901.60701</v>
      </c>
      <c r="DH16" s="195">
        <f t="shared" si="39"/>
        <v>851.61559999999997</v>
      </c>
      <c r="DI16" s="187">
        <f t="shared" si="40"/>
        <v>7.8118354405806087</v>
      </c>
      <c r="DJ16" s="195">
        <f t="shared" si="41"/>
        <v>1385.3010000000002</v>
      </c>
      <c r="DK16" s="195">
        <f t="shared" si="41"/>
        <v>296.25391000000002</v>
      </c>
      <c r="DL16" s="187">
        <f t="shared" si="42"/>
        <v>21.385526322438228</v>
      </c>
      <c r="DM16" s="187">
        <f>Иль!C58</f>
        <v>1367.4680000000001</v>
      </c>
      <c r="DN16" s="187">
        <f>Иль!D58</f>
        <v>293.15391</v>
      </c>
      <c r="DO16" s="187">
        <f t="shared" si="43"/>
        <v>21.437716275627654</v>
      </c>
      <c r="DP16" s="187">
        <f>Иль!C61</f>
        <v>0</v>
      </c>
      <c r="DQ16" s="187">
        <f>Иль!D61</f>
        <v>0</v>
      </c>
      <c r="DR16" s="187" t="e">
        <f t="shared" si="44"/>
        <v>#DIV/0!</v>
      </c>
      <c r="DS16" s="187">
        <f>Иль!C62</f>
        <v>5</v>
      </c>
      <c r="DT16" s="187">
        <f>Иль!D62</f>
        <v>0</v>
      </c>
      <c r="DU16" s="187">
        <f t="shared" si="45"/>
        <v>0</v>
      </c>
      <c r="DV16" s="187">
        <f>Иль!C63</f>
        <v>12.833</v>
      </c>
      <c r="DW16" s="187">
        <f>Иль!D63</f>
        <v>3.1</v>
      </c>
      <c r="DX16" s="187">
        <f t="shared" si="46"/>
        <v>24.156471596664851</v>
      </c>
      <c r="DY16" s="187">
        <f>Иль!C65</f>
        <v>150.881</v>
      </c>
      <c r="DZ16" s="187">
        <f>Иль!D65</f>
        <v>28.411999999999999</v>
      </c>
      <c r="EA16" s="187">
        <f t="shared" si="47"/>
        <v>18.830734154731211</v>
      </c>
      <c r="EB16" s="187">
        <f>Иль!C66</f>
        <v>6.5</v>
      </c>
      <c r="EC16" s="187">
        <f>Иль!D66</f>
        <v>2.4700000000000002</v>
      </c>
      <c r="ED16" s="187">
        <f t="shared" si="48"/>
        <v>38</v>
      </c>
      <c r="EE16" s="195">
        <f>Иль!C71</f>
        <v>1824.7346199999999</v>
      </c>
      <c r="EF16" s="195">
        <f>Иль!D71</f>
        <v>107.547</v>
      </c>
      <c r="EG16" s="187">
        <f t="shared" si="49"/>
        <v>5.8938433469300868</v>
      </c>
      <c r="EH16" s="195">
        <f>Иль!C78</f>
        <v>6161.6903899999998</v>
      </c>
      <c r="EI16" s="195">
        <f>Иль!D78</f>
        <v>76.334540000000004</v>
      </c>
      <c r="EJ16" s="187">
        <f t="shared" si="50"/>
        <v>1.2388571182331025</v>
      </c>
      <c r="EK16" s="195">
        <f>Иль!C82</f>
        <v>1362.5</v>
      </c>
      <c r="EL16" s="197">
        <f>Иль!D82</f>
        <v>339.06815</v>
      </c>
      <c r="EM16" s="187">
        <f t="shared" si="10"/>
        <v>24.885735779816514</v>
      </c>
      <c r="EN16" s="187">
        <f>Иль!C84</f>
        <v>0</v>
      </c>
      <c r="EO16" s="187">
        <f>Иль!D84</f>
        <v>0</v>
      </c>
      <c r="EP16" s="187" t="e">
        <f t="shared" si="11"/>
        <v>#DIV/0!</v>
      </c>
      <c r="EQ16" s="198">
        <f>Иль!C89</f>
        <v>10</v>
      </c>
      <c r="ER16" s="198">
        <f>Иль!D89</f>
        <v>1.53</v>
      </c>
      <c r="ES16" s="187">
        <f t="shared" si="51"/>
        <v>15.299999999999999</v>
      </c>
      <c r="ET16" s="187">
        <f>Иль!C95</f>
        <v>0</v>
      </c>
      <c r="EU16" s="187">
        <f>Иль!D95</f>
        <v>0</v>
      </c>
      <c r="EV16" s="184" t="e">
        <f t="shared" ref="EV16:EV29" si="52">EU16/ET16*100</f>
        <v>#DIV/0!</v>
      </c>
      <c r="EW16" s="191">
        <f t="shared" si="12"/>
        <v>-110.81861999999819</v>
      </c>
      <c r="EX16" s="191">
        <f t="shared" si="13"/>
        <v>104.03102000000001</v>
      </c>
      <c r="EY16" s="184">
        <f>EX16/EW16*100</f>
        <v>-93.875036523647111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296">
        <f t="shared" si="14"/>
        <v>5985.6600000000008</v>
      </c>
      <c r="D17" s="296">
        <f t="shared" si="0"/>
        <v>619.31071000000009</v>
      </c>
      <c r="E17" s="187">
        <f t="shared" si="1"/>
        <v>10.34657347727736</v>
      </c>
      <c r="F17" s="185">
        <f t="shared" si="2"/>
        <v>4212.3300000000008</v>
      </c>
      <c r="G17" s="185">
        <f t="shared" si="3"/>
        <v>231.15171000000009</v>
      </c>
      <c r="H17" s="187">
        <f t="shared" si="15"/>
        <v>5.4875024036578335</v>
      </c>
      <c r="I17" s="195">
        <f>Кад!C6</f>
        <v>456.3</v>
      </c>
      <c r="J17" s="195">
        <f>Кад!D6</f>
        <v>89.669749999999993</v>
      </c>
      <c r="K17" s="187">
        <f t="shared" si="16"/>
        <v>19.651490247644091</v>
      </c>
      <c r="L17" s="187">
        <f>Кад!C8</f>
        <v>265.95999999999998</v>
      </c>
      <c r="M17" s="187">
        <f>Кад!D8</f>
        <v>68.571849999999998</v>
      </c>
      <c r="N17" s="184">
        <f t="shared" si="17"/>
        <v>25.782768085426383</v>
      </c>
      <c r="O17" s="184">
        <f>Кад!C9</f>
        <v>2.85</v>
      </c>
      <c r="P17" s="184">
        <f>Кад!D9</f>
        <v>0.46226</v>
      </c>
      <c r="Q17" s="184">
        <f t="shared" si="18"/>
        <v>16.219649122807017</v>
      </c>
      <c r="R17" s="184">
        <f>Кад!C10</f>
        <v>444.22</v>
      </c>
      <c r="S17" s="184">
        <f>Кад!D10</f>
        <v>111.69759000000001</v>
      </c>
      <c r="T17" s="184">
        <f t="shared" si="19"/>
        <v>25.144655801179596</v>
      </c>
      <c r="U17" s="184">
        <f>Кад!C11</f>
        <v>0</v>
      </c>
      <c r="V17" s="184">
        <f>Кад!D11</f>
        <v>-14.28856</v>
      </c>
      <c r="W17" s="184" t="e">
        <f t="shared" si="20"/>
        <v>#DIV/0!</v>
      </c>
      <c r="X17" s="195">
        <f>Кад!C13</f>
        <v>50</v>
      </c>
      <c r="Y17" s="195">
        <f>Кад!D13</f>
        <v>2.05992</v>
      </c>
      <c r="Z17" s="187">
        <f t="shared" si="21"/>
        <v>4.1198399999999999</v>
      </c>
      <c r="AA17" s="195">
        <f>Кад!C15</f>
        <v>255</v>
      </c>
      <c r="AB17" s="195">
        <f>Кад!D15</f>
        <v>16.524090000000001</v>
      </c>
      <c r="AC17" s="187">
        <f t="shared" si="22"/>
        <v>6.4800352941176476</v>
      </c>
      <c r="AD17" s="195">
        <f>Кад!C16</f>
        <v>2661</v>
      </c>
      <c r="AE17" s="195">
        <f>Кад!D16</f>
        <v>248.04781</v>
      </c>
      <c r="AF17" s="187">
        <f t="shared" si="4"/>
        <v>9.3216012777151445</v>
      </c>
      <c r="AG17" s="187">
        <f>Кад!C18</f>
        <v>5</v>
      </c>
      <c r="AH17" s="187">
        <f>Кад!D18</f>
        <v>8.8000000000000007</v>
      </c>
      <c r="AI17" s="187">
        <f t="shared" si="23"/>
        <v>176.00000000000003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195">
        <f>Кад!D27</f>
        <v>-300</v>
      </c>
      <c r="AR17" s="187">
        <f t="shared" si="24"/>
        <v>-428.57142857142856</v>
      </c>
      <c r="AS17" s="188">
        <f>Кад!C28</f>
        <v>2</v>
      </c>
      <c r="AT17" s="195">
        <f>Кад!D28</f>
        <v>0</v>
      </c>
      <c r="AU17" s="187">
        <f t="shared" si="25"/>
        <v>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0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187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-0.39300000000000002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1773.33</v>
      </c>
      <c r="CA17" s="186">
        <f t="shared" si="35"/>
        <v>388.15899999999999</v>
      </c>
      <c r="CB17" s="187">
        <f>CA17/BZ17*100</f>
        <v>21.888706557719093</v>
      </c>
      <c r="CC17" s="187">
        <f>Кад!C41</f>
        <v>1098.759</v>
      </c>
      <c r="CD17" s="187">
        <f>Кад!D41</f>
        <v>351.9</v>
      </c>
      <c r="CE17" s="187">
        <f t="shared" si="36"/>
        <v>32.027041416725595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518.89</v>
      </c>
      <c r="CJ17" s="187">
        <f>Кад!D43</f>
        <v>0</v>
      </c>
      <c r="CK17" s="187">
        <f t="shared" si="7"/>
        <v>0</v>
      </c>
      <c r="CL17" s="187">
        <f>Кад!C45</f>
        <v>155.68100000000001</v>
      </c>
      <c r="CM17" s="187">
        <f>Кад!D45</f>
        <v>36.259</v>
      </c>
      <c r="CN17" s="187">
        <f t="shared" si="8"/>
        <v>23.2905749577662</v>
      </c>
      <c r="CO17" s="187"/>
      <c r="CP17" s="187"/>
      <c r="CQ17" s="187"/>
      <c r="CR17" s="187"/>
      <c r="CS17" s="187"/>
      <c r="CT17" s="187" t="e">
        <f t="shared" si="9"/>
        <v>#DIV/0!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6462.4937</v>
      </c>
      <c r="DH17" s="195">
        <f t="shared" si="39"/>
        <v>1400.67392</v>
      </c>
      <c r="DI17" s="187">
        <f t="shared" si="40"/>
        <v>21.673892231415252</v>
      </c>
      <c r="DJ17" s="195">
        <f t="shared" si="41"/>
        <v>1574.145</v>
      </c>
      <c r="DK17" s="195">
        <f t="shared" si="41"/>
        <v>261.31074999999998</v>
      </c>
      <c r="DL17" s="187">
        <f t="shared" si="42"/>
        <v>16.600170251152214</v>
      </c>
      <c r="DM17" s="187">
        <f>Кад!C57</f>
        <v>1563.559</v>
      </c>
      <c r="DN17" s="187">
        <f>Кад!D57</f>
        <v>261.31074999999998</v>
      </c>
      <c r="DO17" s="187">
        <f t="shared" si="43"/>
        <v>16.712560894727986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5.5860000000000003</v>
      </c>
      <c r="DW17" s="187">
        <f>Кад!D62</f>
        <v>0</v>
      </c>
      <c r="DX17" s="187">
        <f t="shared" si="46"/>
        <v>0</v>
      </c>
      <c r="DY17" s="187">
        <f>Кад!C64</f>
        <v>150.881</v>
      </c>
      <c r="DZ17" s="187">
        <f>Кад!D64</f>
        <v>17.15598</v>
      </c>
      <c r="EA17" s="187">
        <f t="shared" si="47"/>
        <v>11.370537045751288</v>
      </c>
      <c r="EB17" s="187">
        <f>Кад!C65</f>
        <v>4.4000000000000004</v>
      </c>
      <c r="EC17" s="187">
        <f>Кад!D65</f>
        <v>0</v>
      </c>
      <c r="ED17" s="187">
        <f t="shared" si="48"/>
        <v>0</v>
      </c>
      <c r="EE17" s="195">
        <f>Кад!C70</f>
        <v>1750.0536999999999</v>
      </c>
      <c r="EF17" s="195">
        <f>Кад!D70</f>
        <v>458.91496000000001</v>
      </c>
      <c r="EG17" s="187">
        <f t="shared" si="49"/>
        <v>26.222907331357892</v>
      </c>
      <c r="EH17" s="195">
        <f>Кад!C75</f>
        <v>848.31399999999996</v>
      </c>
      <c r="EI17" s="195">
        <f>Кад!D75</f>
        <v>162.59223</v>
      </c>
      <c r="EJ17" s="187">
        <f t="shared" si="50"/>
        <v>19.166514993269001</v>
      </c>
      <c r="EK17" s="195">
        <f>Кад!C79</f>
        <v>2133.6999999999998</v>
      </c>
      <c r="EL17" s="197">
        <f>Кад!D79</f>
        <v>500.7</v>
      </c>
      <c r="EM17" s="187">
        <f t="shared" si="10"/>
        <v>23.466279233256785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1</v>
      </c>
      <c r="ER17" s="198">
        <f>Кад!D86</f>
        <v>0</v>
      </c>
      <c r="ES17" s="187">
        <f t="shared" si="51"/>
        <v>0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-476.83369999999923</v>
      </c>
      <c r="EX17" s="191">
        <f t="shared" si="13"/>
        <v>-781.36320999999987</v>
      </c>
      <c r="EY17" s="184">
        <f>EX17/EW17*100</f>
        <v>163.86493026814196</v>
      </c>
      <c r="EZ17" s="192"/>
      <c r="FA17" s="193"/>
      <c r="FC17" s="193"/>
    </row>
    <row r="18" spans="1:170" s="235" customFormat="1" ht="15" customHeight="1">
      <c r="A18" s="226">
        <v>5</v>
      </c>
      <c r="B18" s="227" t="s">
        <v>308</v>
      </c>
      <c r="C18" s="297">
        <f t="shared" si="14"/>
        <v>9511.7250000000004</v>
      </c>
      <c r="D18" s="297">
        <f t="shared" si="0"/>
        <v>2267.0166900000004</v>
      </c>
      <c r="E18" s="228">
        <f t="shared" si="1"/>
        <v>23.833917507076798</v>
      </c>
      <c r="F18" s="229">
        <f t="shared" si="2"/>
        <v>4261.0099999999993</v>
      </c>
      <c r="G18" s="229">
        <f t="shared" si="3"/>
        <v>769.08869000000004</v>
      </c>
      <c r="H18" s="228">
        <f t="shared" si="15"/>
        <v>18.049445788674522</v>
      </c>
      <c r="I18" s="304">
        <f>Мор!C6</f>
        <v>1624.2</v>
      </c>
      <c r="J18" s="304">
        <f>Мор!D6</f>
        <v>390.39078999999998</v>
      </c>
      <c r="K18" s="228">
        <f t="shared" si="16"/>
        <v>24.035881664819602</v>
      </c>
      <c r="L18" s="228">
        <f>Мор!C8</f>
        <v>130.59</v>
      </c>
      <c r="M18" s="228">
        <f>Мор!D8</f>
        <v>33.670020000000001</v>
      </c>
      <c r="N18" s="228">
        <f t="shared" si="17"/>
        <v>25.783000229726628</v>
      </c>
      <c r="O18" s="228">
        <f>Мор!C9</f>
        <v>1.4</v>
      </c>
      <c r="P18" s="228">
        <f>Мор!D9</f>
        <v>0.22697000000000001</v>
      </c>
      <c r="Q18" s="228">
        <f t="shared" si="18"/>
        <v>16.212142857142858</v>
      </c>
      <c r="R18" s="228">
        <f>Мор!C10</f>
        <v>218.12</v>
      </c>
      <c r="S18" s="228">
        <f>Мор!D10</f>
        <v>54.845509999999997</v>
      </c>
      <c r="T18" s="228">
        <f t="shared" si="19"/>
        <v>25.144649734091324</v>
      </c>
      <c r="U18" s="228">
        <f>Мор!C11</f>
        <v>0</v>
      </c>
      <c r="V18" s="228">
        <f>Мор!D11</f>
        <v>-7.0159399999999996</v>
      </c>
      <c r="W18" s="228" t="e">
        <f t="shared" si="20"/>
        <v>#DIV/0!</v>
      </c>
      <c r="X18" s="188">
        <f>Мор!C13</f>
        <v>50</v>
      </c>
      <c r="Y18" s="188">
        <f>Мор!D13</f>
        <v>62.442570000000003</v>
      </c>
      <c r="Z18" s="228">
        <f t="shared" si="21"/>
        <v>124.88514000000002</v>
      </c>
      <c r="AA18" s="188">
        <f>Мор!C15</f>
        <v>550</v>
      </c>
      <c r="AB18" s="188">
        <f>Мор!D15</f>
        <v>15.850440000000001</v>
      </c>
      <c r="AC18" s="228">
        <f t="shared" si="22"/>
        <v>2.8818981818181819</v>
      </c>
      <c r="AD18" s="188">
        <f>Мор!C16</f>
        <v>1676.7</v>
      </c>
      <c r="AE18" s="188">
        <f>Мор!D16</f>
        <v>213.93222</v>
      </c>
      <c r="AF18" s="228">
        <f t="shared" si="4"/>
        <v>12.759123277867237</v>
      </c>
      <c r="AG18" s="228">
        <f>Мор!C18</f>
        <v>0</v>
      </c>
      <c r="AH18" s="228">
        <f>Мор!D18</f>
        <v>0</v>
      </c>
      <c r="AI18" s="228" t="e">
        <f t="shared" si="23"/>
        <v>#DIV/0!</v>
      </c>
      <c r="AJ18" s="228">
        <f>Мор!C22</f>
        <v>0</v>
      </c>
      <c r="AK18" s="228">
        <f>Мор!D22</f>
        <v>0</v>
      </c>
      <c r="AL18" s="228" t="e">
        <f t="shared" si="5"/>
        <v>#DIV/0!</v>
      </c>
      <c r="AM18" s="188">
        <v>0</v>
      </c>
      <c r="AN18" s="188">
        <f>Мор!D27</f>
        <v>0</v>
      </c>
      <c r="AO18" s="228" t="e">
        <f t="shared" si="6"/>
        <v>#DIV/0!</v>
      </c>
      <c r="AP18" s="188">
        <f>Мор!C27</f>
        <v>0</v>
      </c>
      <c r="AQ18" s="195">
        <f>Мор!D27</f>
        <v>0</v>
      </c>
      <c r="AR18" s="228" t="e">
        <f t="shared" si="24"/>
        <v>#DIV/0!</v>
      </c>
      <c r="AS18" s="188">
        <f>Мор!C28</f>
        <v>10</v>
      </c>
      <c r="AT18" s="188">
        <f>Мор!D26</f>
        <v>0</v>
      </c>
      <c r="AU18" s="228">
        <f t="shared" si="25"/>
        <v>0</v>
      </c>
      <c r="AV18" s="188"/>
      <c r="AW18" s="188"/>
      <c r="AX18" s="228" t="e">
        <f t="shared" si="26"/>
        <v>#DIV/0!</v>
      </c>
      <c r="AY18" s="228">
        <f>Мор!C29</f>
        <v>0</v>
      </c>
      <c r="AZ18" s="228">
        <f>Мор!D29</f>
        <v>0</v>
      </c>
      <c r="BA18" s="228" t="e">
        <f t="shared" si="27"/>
        <v>#DIV/0!</v>
      </c>
      <c r="BB18" s="228"/>
      <c r="BC18" s="228"/>
      <c r="BD18" s="228"/>
      <c r="BE18" s="228">
        <f>Мор!C33</f>
        <v>0</v>
      </c>
      <c r="BF18" s="228">
        <f>Мор!D33</f>
        <v>0</v>
      </c>
      <c r="BG18" s="228" t="e">
        <f>Мор!E33</f>
        <v>#DIV/0!</v>
      </c>
      <c r="BH18" s="228">
        <f>Мор!F33</f>
        <v>0</v>
      </c>
      <c r="BI18" s="228">
        <f>Мор!G33</f>
        <v>0</v>
      </c>
      <c r="BJ18" s="228">
        <f>Мор!H33</f>
        <v>0</v>
      </c>
      <c r="BK18" s="228">
        <f>Мор!I33</f>
        <v>0</v>
      </c>
      <c r="BL18" s="228">
        <f>Мор!J33</f>
        <v>0</v>
      </c>
      <c r="BM18" s="228">
        <f>Мор!K33</f>
        <v>0</v>
      </c>
      <c r="BN18" s="228">
        <f>Мор!C35</f>
        <v>0</v>
      </c>
      <c r="BO18" s="228">
        <f>Мор!D34</f>
        <v>0</v>
      </c>
      <c r="BP18" s="228" t="e">
        <f t="shared" si="30"/>
        <v>#DIV/0!</v>
      </c>
      <c r="BQ18" s="228">
        <f>Мор!C36</f>
        <v>0</v>
      </c>
      <c r="BR18" s="228">
        <f>Мор!D36</f>
        <v>4.7461099999999998</v>
      </c>
      <c r="BS18" s="228" t="e">
        <f t="shared" si="31"/>
        <v>#DIV/0!</v>
      </c>
      <c r="BT18" s="228"/>
      <c r="BU18" s="228"/>
      <c r="BV18" s="230" t="e">
        <f t="shared" si="32"/>
        <v>#DIV/0!</v>
      </c>
      <c r="BW18" s="230"/>
      <c r="BX18" s="230"/>
      <c r="BY18" s="230" t="e">
        <f t="shared" si="33"/>
        <v>#DIV/0!</v>
      </c>
      <c r="BZ18" s="188">
        <f t="shared" si="34"/>
        <v>5250.7150000000011</v>
      </c>
      <c r="CA18" s="188">
        <f t="shared" si="35"/>
        <v>1497.9280000000001</v>
      </c>
      <c r="CB18" s="228">
        <f t="shared" ref="CB18:CB31" si="53">CA18/BZ18*100</f>
        <v>28.528076652417809</v>
      </c>
      <c r="CC18" s="228">
        <f>Мор!C41</f>
        <v>4496.6850000000004</v>
      </c>
      <c r="CD18" s="228">
        <f>Мор!D41</f>
        <v>1497.9280000000001</v>
      </c>
      <c r="CE18" s="228">
        <f t="shared" si="36"/>
        <v>33.311828602626157</v>
      </c>
      <c r="CF18" s="228">
        <f>Мор!C42</f>
        <v>0</v>
      </c>
      <c r="CG18" s="228">
        <f>Мор!D42</f>
        <v>0</v>
      </c>
      <c r="CH18" s="228" t="e">
        <f t="shared" si="37"/>
        <v>#DIV/0!</v>
      </c>
      <c r="CI18" s="228">
        <f>Мор!C43</f>
        <v>622.73</v>
      </c>
      <c r="CJ18" s="228">
        <f>Мор!D43</f>
        <v>0</v>
      </c>
      <c r="CK18" s="228">
        <f t="shared" si="7"/>
        <v>0</v>
      </c>
      <c r="CL18" s="228">
        <f>Мор!C45</f>
        <v>11</v>
      </c>
      <c r="CM18" s="228">
        <f>Мор!D45</f>
        <v>0</v>
      </c>
      <c r="CN18" s="228">
        <f t="shared" si="8"/>
        <v>0</v>
      </c>
      <c r="CO18" s="228">
        <f>Мор!C46</f>
        <v>0</v>
      </c>
      <c r="CP18" s="228">
        <f>Мор!D46</f>
        <v>0</v>
      </c>
      <c r="CQ18" s="228" t="e">
        <f>CP18/CO18*100</f>
        <v>#DIV/0!</v>
      </c>
      <c r="CR18" s="228">
        <f>Мор!C48</f>
        <v>120.3</v>
      </c>
      <c r="CS18" s="228"/>
      <c r="CT18" s="228">
        <f t="shared" si="9"/>
        <v>0</v>
      </c>
      <c r="CU18" s="228"/>
      <c r="CV18" s="228"/>
      <c r="CW18" s="228"/>
      <c r="CX18" s="188"/>
      <c r="CY18" s="188"/>
      <c r="CZ18" s="228" t="e">
        <f t="shared" si="38"/>
        <v>#DIV/0!</v>
      </c>
      <c r="DA18" s="228"/>
      <c r="DB18" s="228"/>
      <c r="DC18" s="228"/>
      <c r="DD18" s="228"/>
      <c r="DE18" s="228"/>
      <c r="DF18" s="228"/>
      <c r="DG18" s="188">
        <f t="shared" si="39"/>
        <v>9562.2371700000003</v>
      </c>
      <c r="DH18" s="188">
        <f t="shared" si="39"/>
        <v>1866.19146</v>
      </c>
      <c r="DI18" s="228">
        <f t="shared" si="40"/>
        <v>19.516264100360104</v>
      </c>
      <c r="DJ18" s="188">
        <f t="shared" si="41"/>
        <v>1721.7759999999998</v>
      </c>
      <c r="DK18" s="188">
        <f t="shared" si="41"/>
        <v>324.25083000000001</v>
      </c>
      <c r="DL18" s="228">
        <f t="shared" si="42"/>
        <v>18.83234694873201</v>
      </c>
      <c r="DM18" s="228">
        <f>Мор!C58</f>
        <v>1693.9849999999999</v>
      </c>
      <c r="DN18" s="228">
        <f>Мор!D58</f>
        <v>324.25083000000001</v>
      </c>
      <c r="DO18" s="228">
        <f t="shared" si="43"/>
        <v>19.141304675070913</v>
      </c>
      <c r="DP18" s="228">
        <f>Мор!C61</f>
        <v>0</v>
      </c>
      <c r="DQ18" s="228">
        <f>Мор!D61</f>
        <v>0</v>
      </c>
      <c r="DR18" s="228" t="e">
        <f t="shared" si="44"/>
        <v>#DIV/0!</v>
      </c>
      <c r="DS18" s="228">
        <f>Мор!C62</f>
        <v>20</v>
      </c>
      <c r="DT18" s="228">
        <f>Мор!D62</f>
        <v>0</v>
      </c>
      <c r="DU18" s="228">
        <f t="shared" si="45"/>
        <v>0</v>
      </c>
      <c r="DV18" s="228">
        <f>Мор!C63</f>
        <v>7.7910000000000004</v>
      </c>
      <c r="DW18" s="228">
        <f>Мор!D63</f>
        <v>0</v>
      </c>
      <c r="DX18" s="228">
        <f t="shared" si="46"/>
        <v>0</v>
      </c>
      <c r="DY18" s="228">
        <f>Мор!C64</f>
        <v>0</v>
      </c>
      <c r="DZ18" s="228">
        <f>Мор!D64</f>
        <v>0</v>
      </c>
      <c r="EA18" s="228" t="e">
        <f t="shared" si="47"/>
        <v>#DIV/0!</v>
      </c>
      <c r="EB18" s="228">
        <f>Мор!C66</f>
        <v>30</v>
      </c>
      <c r="EC18" s="228">
        <f>Мор!D66</f>
        <v>0</v>
      </c>
      <c r="ED18" s="228">
        <f t="shared" si="48"/>
        <v>0</v>
      </c>
      <c r="EE18" s="188">
        <f>Мор!C71</f>
        <v>1670.46117</v>
      </c>
      <c r="EF18" s="188">
        <f>Мор!D71</f>
        <v>162.94266999999999</v>
      </c>
      <c r="EG18" s="228">
        <f t="shared" si="49"/>
        <v>9.7543524462768563</v>
      </c>
      <c r="EH18" s="188">
        <f>Мор!C76</f>
        <v>3740.7000000000003</v>
      </c>
      <c r="EI18" s="188">
        <f>Мор!D76</f>
        <v>784.99796000000003</v>
      </c>
      <c r="EJ18" s="228">
        <f t="shared" si="50"/>
        <v>20.985322533215708</v>
      </c>
      <c r="EK18" s="188">
        <f>Мор!C80</f>
        <v>2374.3000000000002</v>
      </c>
      <c r="EL18" s="231">
        <f>Мор!D80</f>
        <v>594</v>
      </c>
      <c r="EM18" s="228">
        <f t="shared" si="10"/>
        <v>25.017900012635302</v>
      </c>
      <c r="EN18" s="228">
        <f>Мор!C83</f>
        <v>0</v>
      </c>
      <c r="EO18" s="228">
        <f>Мор!D83</f>
        <v>0</v>
      </c>
      <c r="EP18" s="228" t="e">
        <f t="shared" si="11"/>
        <v>#DIV/0!</v>
      </c>
      <c r="EQ18" s="229">
        <f>Мор!C88</f>
        <v>25</v>
      </c>
      <c r="ER18" s="229">
        <f>Мор!D88</f>
        <v>0</v>
      </c>
      <c r="ES18" s="228">
        <f t="shared" si="51"/>
        <v>0</v>
      </c>
      <c r="ET18" s="228">
        <f>Мор!C94</f>
        <v>0</v>
      </c>
      <c r="EU18" s="228">
        <f>Мор!D94</f>
        <v>0</v>
      </c>
      <c r="EV18" s="228" t="e">
        <f t="shared" si="52"/>
        <v>#DIV/0!</v>
      </c>
      <c r="EW18" s="232">
        <f t="shared" si="12"/>
        <v>-50.512169999999969</v>
      </c>
      <c r="EX18" s="232">
        <f t="shared" si="13"/>
        <v>400.82523000000037</v>
      </c>
      <c r="EY18" s="228">
        <f t="shared" ref="EY18:EY30" si="54">EX18/EW18*100</f>
        <v>-793.52209576424968</v>
      </c>
      <c r="EZ18" s="233"/>
      <c r="FA18" s="234"/>
      <c r="FC18" s="234"/>
    </row>
    <row r="19" spans="1:170" s="169" customFormat="1" ht="15" customHeight="1">
      <c r="A19" s="181">
        <v>6</v>
      </c>
      <c r="B19" s="194" t="s">
        <v>309</v>
      </c>
      <c r="C19" s="183">
        <f t="shared" si="14"/>
        <v>6249.4579999999996</v>
      </c>
      <c r="D19" s="296">
        <f t="shared" si="0"/>
        <v>797.50796000000003</v>
      </c>
      <c r="E19" s="187">
        <f t="shared" si="1"/>
        <v>12.761234014213713</v>
      </c>
      <c r="F19" s="185">
        <f t="shared" si="2"/>
        <v>4483.7</v>
      </c>
      <c r="G19" s="185">
        <f t="shared" si="3"/>
        <v>758.94896000000006</v>
      </c>
      <c r="H19" s="187">
        <f t="shared" si="15"/>
        <v>16.9268452394228</v>
      </c>
      <c r="I19" s="195">
        <f>Мос!C6</f>
        <v>1309.9000000000001</v>
      </c>
      <c r="J19" s="195">
        <f>Мос!D6</f>
        <v>292.29874000000001</v>
      </c>
      <c r="K19" s="187">
        <f t="shared" si="16"/>
        <v>22.314584319413694</v>
      </c>
      <c r="L19" s="187">
        <f>Мос!C8</f>
        <v>246.85</v>
      </c>
      <c r="M19" s="187">
        <f>Мос!D8</f>
        <v>63.644530000000003</v>
      </c>
      <c r="N19" s="184">
        <f t="shared" si="17"/>
        <v>25.782673688474784</v>
      </c>
      <c r="O19" s="184">
        <f>Мос!C9</f>
        <v>2.65</v>
      </c>
      <c r="P19" s="184">
        <f>Мос!D9</f>
        <v>0.42903999999999998</v>
      </c>
      <c r="Q19" s="184">
        <f t="shared" si="18"/>
        <v>16.190188679245281</v>
      </c>
      <c r="R19" s="184">
        <f>Мос!C10</f>
        <v>412.3</v>
      </c>
      <c r="S19" s="184">
        <f>Мос!D10</f>
        <v>103.67138</v>
      </c>
      <c r="T19" s="184">
        <f t="shared" si="19"/>
        <v>25.144647101625029</v>
      </c>
      <c r="U19" s="184">
        <f>Мос!C11</f>
        <v>0</v>
      </c>
      <c r="V19" s="184">
        <f>Мос!D11</f>
        <v>-13.261850000000001</v>
      </c>
      <c r="W19" s="184" t="e">
        <f t="shared" si="20"/>
        <v>#DIV/0!</v>
      </c>
      <c r="X19" s="195">
        <f>Мос!C13</f>
        <v>10</v>
      </c>
      <c r="Y19" s="195">
        <f>Мос!D13</f>
        <v>28.442399999999999</v>
      </c>
      <c r="Z19" s="187">
        <f t="shared" si="21"/>
        <v>284.42400000000004</v>
      </c>
      <c r="AA19" s="195">
        <f>Мос!C15</f>
        <v>190</v>
      </c>
      <c r="AB19" s="195">
        <f>Мос!D15</f>
        <v>2.92292</v>
      </c>
      <c r="AC19" s="187">
        <f t="shared" si="22"/>
        <v>1.5383789473684211</v>
      </c>
      <c r="AD19" s="195">
        <f>Мос!C16</f>
        <v>2300</v>
      </c>
      <c r="AE19" s="195">
        <f>Мос!D16</f>
        <v>277.95519000000002</v>
      </c>
      <c r="AF19" s="187">
        <f t="shared" si="4"/>
        <v>12.085008260869566</v>
      </c>
      <c r="AG19" s="187">
        <f>Мос!C18</f>
        <v>10</v>
      </c>
      <c r="AH19" s="187">
        <f>Мос!D18</f>
        <v>3.1</v>
      </c>
      <c r="AI19" s="187">
        <f t="shared" si="23"/>
        <v>31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195">
        <f>Мос!D27</f>
        <v>0</v>
      </c>
      <c r="AR19" s="187" t="e">
        <f t="shared" si="24"/>
        <v>#DIV/0!</v>
      </c>
      <c r="AS19" s="188">
        <f>Мос!C26</f>
        <v>2</v>
      </c>
      <c r="AT19" s="188">
        <f>Мос!D28</f>
        <v>0</v>
      </c>
      <c r="AU19" s="187">
        <f t="shared" si="25"/>
        <v>0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187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-0.25339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86">
        <f t="shared" si="34"/>
        <v>1765.7579999999998</v>
      </c>
      <c r="CA19" s="186">
        <f t="shared" si="35"/>
        <v>38.558999999999997</v>
      </c>
      <c r="CB19" s="187">
        <f t="shared" si="53"/>
        <v>2.1837080732467302</v>
      </c>
      <c r="CC19" s="187">
        <f>Мос!C41</f>
        <v>19.957000000000001</v>
      </c>
      <c r="CD19" s="187">
        <f>Мос!D41</f>
        <v>2.2999999999999998</v>
      </c>
      <c r="CE19" s="187">
        <f>CD19/CC19*100</f>
        <v>11.524778273287566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4">
        <f>Мос!C43</f>
        <v>1317.62</v>
      </c>
      <c r="CJ19" s="187">
        <f>Мос!D43</f>
        <v>0</v>
      </c>
      <c r="CK19" s="187">
        <f t="shared" si="7"/>
        <v>0</v>
      </c>
      <c r="CL19" s="187">
        <f>Мос!C45</f>
        <v>153.28100000000001</v>
      </c>
      <c r="CM19" s="187">
        <f>Мос!D45</f>
        <v>36.259</v>
      </c>
      <c r="CN19" s="187">
        <f t="shared" si="8"/>
        <v>23.655247551881835</v>
      </c>
      <c r="CO19" s="187">
        <f>Мос!C46</f>
        <v>0</v>
      </c>
      <c r="CP19" s="187">
        <f>Мос!D46</f>
        <v>0</v>
      </c>
      <c r="CQ19" s="187" t="e">
        <f>CP19/CO19*100</f>
        <v>#DIV/0!</v>
      </c>
      <c r="CR19" s="187">
        <f>Мос!C50</f>
        <v>274.89999999999998</v>
      </c>
      <c r="CS19" s="187"/>
      <c r="CT19" s="187">
        <f t="shared" si="9"/>
        <v>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6577.7040099999995</v>
      </c>
      <c r="DH19" s="195">
        <f t="shared" si="39"/>
        <v>967.78284000000008</v>
      </c>
      <c r="DI19" s="187">
        <f t="shared" si="40"/>
        <v>14.713079800013684</v>
      </c>
      <c r="DJ19" s="195">
        <f t="shared" si="41"/>
        <v>1759.2569999999998</v>
      </c>
      <c r="DK19" s="195">
        <f t="shared" si="41"/>
        <v>341.94354000000004</v>
      </c>
      <c r="DL19" s="187">
        <f t="shared" si="42"/>
        <v>19.436815655700109</v>
      </c>
      <c r="DM19" s="187">
        <f>Мос!C58</f>
        <v>1748.7739999999999</v>
      </c>
      <c r="DN19" s="187">
        <f>Мос!D58</f>
        <v>341.70008000000001</v>
      </c>
      <c r="DO19" s="187">
        <f t="shared" si="43"/>
        <v>19.539407607844126</v>
      </c>
      <c r="DP19" s="187">
        <f>Мос!C61</f>
        <v>0</v>
      </c>
      <c r="DQ19" s="187">
        <f>Мос!D61</f>
        <v>0</v>
      </c>
      <c r="DR19" s="187" t="e">
        <f t="shared" si="44"/>
        <v>#DIV/0!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5.4829999999999997</v>
      </c>
      <c r="DW19" s="187">
        <f>Мос!D63</f>
        <v>0.24346000000000001</v>
      </c>
      <c r="DX19" s="187">
        <f t="shared" si="46"/>
        <v>4.4402699252234186</v>
      </c>
      <c r="DY19" s="187">
        <f>Мос!C65</f>
        <v>150.881</v>
      </c>
      <c r="DZ19" s="187">
        <f>Мос!D65</f>
        <v>28.712</v>
      </c>
      <c r="EA19" s="187">
        <f t="shared" si="47"/>
        <v>19.029566346988684</v>
      </c>
      <c r="EB19" s="187">
        <f>Мос!C66</f>
        <v>15</v>
      </c>
      <c r="EC19" s="187">
        <f>Мос!D66</f>
        <v>0.6</v>
      </c>
      <c r="ED19" s="187">
        <f t="shared" si="48"/>
        <v>4</v>
      </c>
      <c r="EE19" s="195">
        <f>Мос!C71</f>
        <v>2640.81601</v>
      </c>
      <c r="EF19" s="195">
        <f>Мос!D71</f>
        <v>227.8503</v>
      </c>
      <c r="EG19" s="187">
        <f t="shared" si="49"/>
        <v>8.628026304642102</v>
      </c>
      <c r="EH19" s="195">
        <f>Мос!C76</f>
        <v>884.15</v>
      </c>
      <c r="EI19" s="195">
        <f>Мос!D76</f>
        <v>91.777000000000001</v>
      </c>
      <c r="EJ19" s="187">
        <f t="shared" si="50"/>
        <v>10.380252219645989</v>
      </c>
      <c r="EK19" s="195">
        <f>Мос!C81</f>
        <v>1107.5999999999999</v>
      </c>
      <c r="EL19" s="197">
        <f>Мос!D81</f>
        <v>276.89999999999998</v>
      </c>
      <c r="EM19" s="187">
        <f t="shared" si="10"/>
        <v>25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20</v>
      </c>
      <c r="ER19" s="198">
        <f>Мос!D91</f>
        <v>0</v>
      </c>
      <c r="ES19" s="187">
        <f t="shared" si="51"/>
        <v>0</v>
      </c>
      <c r="ET19" s="187">
        <f>Мос!C97</f>
        <v>0</v>
      </c>
      <c r="EU19" s="187">
        <f>Мос!D97</f>
        <v>0</v>
      </c>
      <c r="EV19" s="184" t="e">
        <f t="shared" si="52"/>
        <v>#DIV/0!</v>
      </c>
      <c r="EW19" s="191">
        <f t="shared" si="12"/>
        <v>-328.24600999999984</v>
      </c>
      <c r="EX19" s="191">
        <f t="shared" si="13"/>
        <v>-170.27488000000005</v>
      </c>
      <c r="EY19" s="184">
        <f t="shared" si="54"/>
        <v>51.874165964728746</v>
      </c>
      <c r="EZ19" s="192"/>
      <c r="FA19" s="193"/>
      <c r="FC19" s="193"/>
    </row>
    <row r="20" spans="1:170" s="169" customFormat="1" ht="15" customHeight="1">
      <c r="A20" s="181">
        <v>7</v>
      </c>
      <c r="B20" s="194" t="s">
        <v>310</v>
      </c>
      <c r="C20" s="183">
        <f t="shared" si="14"/>
        <v>6073.0559999999996</v>
      </c>
      <c r="D20" s="296">
        <f t="shared" si="0"/>
        <v>866.13551000000007</v>
      </c>
      <c r="E20" s="187">
        <f t="shared" si="1"/>
        <v>14.261938470516327</v>
      </c>
      <c r="F20" s="185">
        <f t="shared" si="2"/>
        <v>2702.3</v>
      </c>
      <c r="G20" s="185">
        <f t="shared" si="3"/>
        <v>312.61251000000004</v>
      </c>
      <c r="H20" s="187">
        <f t="shared" si="15"/>
        <v>11.56838655959738</v>
      </c>
      <c r="I20" s="303">
        <f>Ори!C6</f>
        <v>262.3</v>
      </c>
      <c r="J20" s="303">
        <f>Ори!D6</f>
        <v>47.47381</v>
      </c>
      <c r="K20" s="187">
        <f t="shared" si="16"/>
        <v>18.099050705299273</v>
      </c>
      <c r="L20" s="187">
        <f>Ори!C8</f>
        <v>157.66999999999999</v>
      </c>
      <c r="M20" s="187">
        <f>Ори!D8</f>
        <v>40.650379999999998</v>
      </c>
      <c r="N20" s="184">
        <f t="shared" si="17"/>
        <v>25.781936956935375</v>
      </c>
      <c r="O20" s="184">
        <f>Ори!C9</f>
        <v>1.7</v>
      </c>
      <c r="P20" s="184">
        <f>Ори!D9</f>
        <v>0.27403</v>
      </c>
      <c r="Q20" s="184">
        <f t="shared" si="18"/>
        <v>16.11941176470588</v>
      </c>
      <c r="R20" s="184">
        <f>Ори!C10</f>
        <v>263.33</v>
      </c>
      <c r="S20" s="184">
        <f>Ори!D10</f>
        <v>66.21593</v>
      </c>
      <c r="T20" s="184">
        <f t="shared" si="19"/>
        <v>25.145608172255347</v>
      </c>
      <c r="U20" s="184">
        <f>Ори!C11</f>
        <v>0</v>
      </c>
      <c r="V20" s="184">
        <f>Ори!D11</f>
        <v>-8.4704700000000006</v>
      </c>
      <c r="W20" s="184" t="e">
        <f t="shared" si="20"/>
        <v>#DIV/0!</v>
      </c>
      <c r="X20" s="195">
        <f>Ори!C13</f>
        <v>40</v>
      </c>
      <c r="Y20" s="195">
        <f>Ори!D13</f>
        <v>9.9703199999999992</v>
      </c>
      <c r="Z20" s="187">
        <f t="shared" si="21"/>
        <v>24.925799999999999</v>
      </c>
      <c r="AA20" s="195">
        <f>Ори!C15</f>
        <v>160</v>
      </c>
      <c r="AB20" s="195">
        <f>Ори!D15</f>
        <v>6.2450599999999996</v>
      </c>
      <c r="AC20" s="187">
        <f t="shared" si="22"/>
        <v>3.9031625000000001</v>
      </c>
      <c r="AD20" s="195">
        <f>Ори!C16</f>
        <v>1620</v>
      </c>
      <c r="AE20" s="195">
        <f>Ори!D16</f>
        <v>106.06671</v>
      </c>
      <c r="AF20" s="187">
        <f t="shared" si="4"/>
        <v>6.5473277777777783</v>
      </c>
      <c r="AG20" s="187">
        <f>Ори!C18</f>
        <v>10</v>
      </c>
      <c r="AH20" s="187">
        <f>Ори!D18</f>
        <v>1.8</v>
      </c>
      <c r="AI20" s="187">
        <f t="shared" si="23"/>
        <v>18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195">
        <f>Ори!D27</f>
        <v>28.988520000000001</v>
      </c>
      <c r="AR20" s="187">
        <f t="shared" si="24"/>
        <v>27.016328052190126</v>
      </c>
      <c r="AS20" s="188">
        <f>Ори!C28</f>
        <v>30</v>
      </c>
      <c r="AT20" s="195">
        <f>Ори!D28</f>
        <v>13.5</v>
      </c>
      <c r="AU20" s="187">
        <f t="shared" si="25"/>
        <v>45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0</v>
      </c>
      <c r="BA20" s="187">
        <f t="shared" si="27"/>
        <v>0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187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-0.10178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3370.7559999999994</v>
      </c>
      <c r="CA20" s="186">
        <f t="shared" si="35"/>
        <v>553.52300000000002</v>
      </c>
      <c r="CB20" s="187">
        <f t="shared" si="53"/>
        <v>16.42133100111667</v>
      </c>
      <c r="CC20" s="187">
        <f>Ори!C41</f>
        <v>1344.585</v>
      </c>
      <c r="CD20" s="187">
        <f>Ори!D41</f>
        <v>437.26400000000001</v>
      </c>
      <c r="CE20" s="187">
        <f t="shared" si="36"/>
        <v>32.520368738309593</v>
      </c>
      <c r="CF20" s="187">
        <f>Ори!C42</f>
        <v>320</v>
      </c>
      <c r="CG20" s="187">
        <f>Ори!D42</f>
        <v>80</v>
      </c>
      <c r="CH20" s="187">
        <f t="shared" si="37"/>
        <v>25</v>
      </c>
      <c r="CI20" s="187">
        <f>Ори!C43</f>
        <v>1242.49</v>
      </c>
      <c r="CJ20" s="187">
        <f>Ори!D43</f>
        <v>0</v>
      </c>
      <c r="CK20" s="187">
        <f t="shared" si="7"/>
        <v>0</v>
      </c>
      <c r="CL20" s="187">
        <f>Ори!C45</f>
        <v>154.48099999999999</v>
      </c>
      <c r="CM20" s="187">
        <f>Ори!D45</f>
        <v>36.259</v>
      </c>
      <c r="CN20" s="187">
        <f t="shared" si="8"/>
        <v>23.471494876392569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0</v>
      </c>
      <c r="CT20" s="187">
        <f t="shared" si="9"/>
        <v>0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6184.7895099999996</v>
      </c>
      <c r="DH20" s="195">
        <f t="shared" si="39"/>
        <v>907.59996999999998</v>
      </c>
      <c r="DI20" s="187">
        <f t="shared" si="40"/>
        <v>14.674710732394836</v>
      </c>
      <c r="DJ20" s="195">
        <f t="shared" si="41"/>
        <v>1309.0539999999999</v>
      </c>
      <c r="DK20" s="195">
        <f t="shared" si="41"/>
        <v>222.70513</v>
      </c>
      <c r="DL20" s="187">
        <f t="shared" si="42"/>
        <v>17.012677093534723</v>
      </c>
      <c r="DM20" s="187">
        <f>Ори!C58</f>
        <v>1299.9849999999999</v>
      </c>
      <c r="DN20" s="187">
        <f>Ори!D58</f>
        <v>222.70513</v>
      </c>
      <c r="DO20" s="187">
        <f t="shared" si="43"/>
        <v>17.131361515709798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4.069</v>
      </c>
      <c r="DW20" s="187">
        <f>Ори!D63</f>
        <v>0</v>
      </c>
      <c r="DX20" s="187">
        <f t="shared" si="46"/>
        <v>0</v>
      </c>
      <c r="DY20" s="187">
        <f>Ори!C65</f>
        <v>150.881</v>
      </c>
      <c r="DZ20" s="187">
        <f>Ори!D65</f>
        <v>14.81678</v>
      </c>
      <c r="EA20" s="187">
        <f t="shared" si="47"/>
        <v>9.8201761653223407</v>
      </c>
      <c r="EB20" s="187">
        <f>Ори!C66</f>
        <v>8.65</v>
      </c>
      <c r="EC20" s="187">
        <f>Ори!D66</f>
        <v>2</v>
      </c>
      <c r="ED20" s="187">
        <f t="shared" si="48"/>
        <v>23.121387283236995</v>
      </c>
      <c r="EE20" s="195">
        <f>Ори!C71</f>
        <v>2346.3735099999999</v>
      </c>
      <c r="EF20" s="195">
        <f>Ори!D71</f>
        <v>153.94999999999999</v>
      </c>
      <c r="EG20" s="187">
        <f t="shared" si="49"/>
        <v>6.5611889728502781</v>
      </c>
      <c r="EH20" s="195">
        <f>Ори!C76</f>
        <v>833.83100000000002</v>
      </c>
      <c r="EI20" s="195">
        <f>Ори!D76</f>
        <v>188.87405999999999</v>
      </c>
      <c r="EJ20" s="187">
        <f t="shared" si="50"/>
        <v>22.651359807922706</v>
      </c>
      <c r="EK20" s="195">
        <f>Ори!C81</f>
        <v>1534</v>
      </c>
      <c r="EL20" s="197">
        <f>Ори!D81</f>
        <v>325.25400000000002</v>
      </c>
      <c r="EM20" s="187">
        <f t="shared" si="10"/>
        <v>21.202998696219037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0</v>
      </c>
      <c r="ES20" s="187">
        <f t="shared" si="51"/>
        <v>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-111.73351000000002</v>
      </c>
      <c r="EX20" s="191">
        <f t="shared" si="13"/>
        <v>-41.464459999999917</v>
      </c>
      <c r="EY20" s="184">
        <f t="shared" si="54"/>
        <v>37.110138220843425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183">
        <f t="shared" si="14"/>
        <v>5500.3959999999997</v>
      </c>
      <c r="D21" s="296">
        <f t="shared" si="0"/>
        <v>1252.70253</v>
      </c>
      <c r="E21" s="187">
        <f t="shared" si="1"/>
        <v>22.774769852934227</v>
      </c>
      <c r="F21" s="185">
        <f t="shared" si="2"/>
        <v>1904.9999999999998</v>
      </c>
      <c r="G21" s="185">
        <f t="shared" si="3"/>
        <v>234.81553000000002</v>
      </c>
      <c r="H21" s="187">
        <f t="shared" si="15"/>
        <v>12.326274540682418</v>
      </c>
      <c r="I21" s="195">
        <f>Сят!C6</f>
        <v>108.1</v>
      </c>
      <c r="J21" s="195">
        <f>Сят!D6</f>
        <v>11.888450000000001</v>
      </c>
      <c r="K21" s="187">
        <f t="shared" si="16"/>
        <v>10.997641073080482</v>
      </c>
      <c r="L21" s="187">
        <f>Сят!C8</f>
        <v>194.3</v>
      </c>
      <c r="M21" s="187">
        <f>Сят!D8</f>
        <v>50.094410000000003</v>
      </c>
      <c r="N21" s="184">
        <f t="shared" si="17"/>
        <v>25.781991765311375</v>
      </c>
      <c r="O21" s="184">
        <f>Сят!C9</f>
        <v>2.1</v>
      </c>
      <c r="P21" s="184">
        <f>Сят!D9</f>
        <v>0.33768999999999999</v>
      </c>
      <c r="Q21" s="184">
        <f t="shared" si="18"/>
        <v>16.08047619047619</v>
      </c>
      <c r="R21" s="184">
        <f>Сят!C10</f>
        <v>324.5</v>
      </c>
      <c r="S21" s="184">
        <f>Сят!D10</f>
        <v>81.599419999999995</v>
      </c>
      <c r="T21" s="184">
        <f t="shared" si="19"/>
        <v>25.14620030816641</v>
      </c>
      <c r="U21" s="184">
        <f>Сят!C11</f>
        <v>0</v>
      </c>
      <c r="V21" s="184">
        <f>Сят!D11</f>
        <v>-10.438359999999999</v>
      </c>
      <c r="W21" s="184" t="e">
        <f t="shared" si="20"/>
        <v>#DIV/0!</v>
      </c>
      <c r="X21" s="195">
        <f>Сят!C13</f>
        <v>40</v>
      </c>
      <c r="Y21" s="195">
        <f>Сят!D13</f>
        <v>3.6015000000000001</v>
      </c>
      <c r="Z21" s="187">
        <f t="shared" si="21"/>
        <v>9.0037500000000001</v>
      </c>
      <c r="AA21" s="195">
        <f>Сят!C15</f>
        <v>130</v>
      </c>
      <c r="AB21" s="195">
        <f>Сят!D15</f>
        <v>5.3248600000000001</v>
      </c>
      <c r="AC21" s="187">
        <f t="shared" si="22"/>
        <v>4.0960461538461539</v>
      </c>
      <c r="AD21" s="195">
        <f>Сят!C16</f>
        <v>930</v>
      </c>
      <c r="AE21" s="195">
        <f>Сят!D16</f>
        <v>184.06412</v>
      </c>
      <c r="AF21" s="187">
        <f t="shared" si="4"/>
        <v>19.791840860215054</v>
      </c>
      <c r="AG21" s="187">
        <f>Сят!C18</f>
        <v>10</v>
      </c>
      <c r="AH21" s="187">
        <f>Сят!D18</f>
        <v>1.65</v>
      </c>
      <c r="AI21" s="187">
        <f t="shared" si="23"/>
        <v>16.499999999999996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195">
        <f>Сят!D27</f>
        <v>0</v>
      </c>
      <c r="AR21" s="187">
        <f t="shared" si="24"/>
        <v>0</v>
      </c>
      <c r="AS21" s="188">
        <f>Сят!C28</f>
        <v>6</v>
      </c>
      <c r="AT21" s="195">
        <f>Сят!D28</f>
        <v>1.6934400000000001</v>
      </c>
      <c r="AU21" s="187">
        <f t="shared" si="25"/>
        <v>28.224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0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/>
      <c r="BO21" s="187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3595.3960000000002</v>
      </c>
      <c r="CA21" s="186">
        <f t="shared" si="35"/>
        <v>1017.8870000000001</v>
      </c>
      <c r="CB21" s="187">
        <f t="shared" si="53"/>
        <v>28.31084531439652</v>
      </c>
      <c r="CC21" s="187">
        <f>Сят!C41</f>
        <v>2755.6849999999999</v>
      </c>
      <c r="CD21" s="187">
        <f>Сят!D41</f>
        <v>907.62800000000004</v>
      </c>
      <c r="CE21" s="187">
        <f t="shared" si="36"/>
        <v>32.936565681491174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610.03</v>
      </c>
      <c r="CJ21" s="187">
        <f>Сят!D43</f>
        <v>0</v>
      </c>
      <c r="CK21" s="187">
        <f t="shared" si="7"/>
        <v>0</v>
      </c>
      <c r="CL21" s="187">
        <f>Сят!C44</f>
        <v>155.68100000000001</v>
      </c>
      <c r="CM21" s="187">
        <f>Сят!D44</f>
        <v>36.259</v>
      </c>
      <c r="CN21" s="187">
        <f t="shared" si="8"/>
        <v>23.2905749577662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74</v>
      </c>
      <c r="CS21" s="187">
        <f>Сят!D49</f>
        <v>74</v>
      </c>
      <c r="CT21" s="187">
        <f t="shared" si="9"/>
        <v>100</v>
      </c>
      <c r="CU21" s="187"/>
      <c r="CV21" s="187"/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5949.9020199999995</v>
      </c>
      <c r="DH21" s="195">
        <f t="shared" si="39"/>
        <v>1160.65777</v>
      </c>
      <c r="DI21" s="187">
        <f t="shared" si="40"/>
        <v>19.507174506379521</v>
      </c>
      <c r="DJ21" s="195">
        <f t="shared" si="41"/>
        <v>1428.385</v>
      </c>
      <c r="DK21" s="195">
        <f>Сят!D55</f>
        <v>302.80583999999999</v>
      </c>
      <c r="DL21" s="187">
        <f t="shared" si="42"/>
        <v>21.199175292375656</v>
      </c>
      <c r="DM21" s="187">
        <f>Сят!C57</f>
        <v>1397.585</v>
      </c>
      <c r="DN21" s="187">
        <f>Сят!D57</f>
        <v>298.10584</v>
      </c>
      <c r="DO21" s="187">
        <f t="shared" si="43"/>
        <v>21.330068654142682</v>
      </c>
      <c r="DP21" s="187">
        <f>Сят!C60</f>
        <v>0</v>
      </c>
      <c r="DQ21" s="187">
        <f>Сят!D60</f>
        <v>0</v>
      </c>
      <c r="DR21" s="187" t="e">
        <f t="shared" si="44"/>
        <v>#DIV/0!</v>
      </c>
      <c r="DS21" s="187">
        <f>Сят!C61</f>
        <v>20.010000000000002</v>
      </c>
      <c r="DT21" s="187">
        <f>Сят!D61</f>
        <v>0</v>
      </c>
      <c r="DU21" s="187">
        <f t="shared" si="45"/>
        <v>0</v>
      </c>
      <c r="DV21" s="187">
        <f>Сят!C62</f>
        <v>10.79</v>
      </c>
      <c r="DW21" s="187">
        <f>Сят!D62</f>
        <v>4.7</v>
      </c>
      <c r="DX21" s="187">
        <f t="shared" si="46"/>
        <v>43.55885078776646</v>
      </c>
      <c r="DY21" s="187">
        <f>Сят!C64</f>
        <v>150.881</v>
      </c>
      <c r="DZ21" s="187">
        <f>Сят!D64</f>
        <v>28.009360000000001</v>
      </c>
      <c r="EA21" s="187">
        <f t="shared" si="47"/>
        <v>18.563874841762715</v>
      </c>
      <c r="EB21" s="187">
        <f>Сят!C65</f>
        <v>10</v>
      </c>
      <c r="EC21" s="187">
        <f>Сят!D65</f>
        <v>0</v>
      </c>
      <c r="ED21" s="187">
        <f t="shared" si="48"/>
        <v>0</v>
      </c>
      <c r="EE21" s="195">
        <f>Сят!C70</f>
        <v>1400.58602</v>
      </c>
      <c r="EF21" s="195">
        <f>Сят!D70</f>
        <v>287.94907999999998</v>
      </c>
      <c r="EG21" s="187">
        <f t="shared" si="49"/>
        <v>20.559185647162177</v>
      </c>
      <c r="EH21" s="195">
        <f>Сят!C75</f>
        <v>823.2</v>
      </c>
      <c r="EI21" s="195">
        <f>Сят!D75</f>
        <v>41.299529999999997</v>
      </c>
      <c r="EJ21" s="187">
        <f t="shared" si="50"/>
        <v>5.0169497084548098</v>
      </c>
      <c r="EK21" s="195">
        <f>Сят!C79</f>
        <v>2099.85</v>
      </c>
      <c r="EL21" s="197">
        <f>Сят!D79</f>
        <v>478.59395999999998</v>
      </c>
      <c r="EM21" s="187">
        <f t="shared" si="10"/>
        <v>22.791816558325596</v>
      </c>
      <c r="EN21" s="187">
        <f>Сят!C81</f>
        <v>0</v>
      </c>
      <c r="EO21" s="187">
        <f>Сят!D81</f>
        <v>0</v>
      </c>
      <c r="EP21" s="187" t="e">
        <f t="shared" si="11"/>
        <v>#DIV/0!</v>
      </c>
      <c r="EQ21" s="198">
        <f>Сят!C86</f>
        <v>37</v>
      </c>
      <c r="ER21" s="198">
        <f>Сят!D86</f>
        <v>22</v>
      </c>
      <c r="ES21" s="187">
        <f t="shared" si="51"/>
        <v>59.45945945945946</v>
      </c>
      <c r="ET21" s="187">
        <f>Сят!C92</f>
        <v>0</v>
      </c>
      <c r="EU21" s="187">
        <f>Сят!D92</f>
        <v>0</v>
      </c>
      <c r="EV21" s="184" t="e">
        <f t="shared" si="52"/>
        <v>#DIV/0!</v>
      </c>
      <c r="EW21" s="191">
        <f t="shared" si="12"/>
        <v>-449.50601999999981</v>
      </c>
      <c r="EX21" s="191">
        <f t="shared" si="13"/>
        <v>92.044759999999997</v>
      </c>
      <c r="EY21" s="184">
        <f t="shared" si="54"/>
        <v>-20.476869253052506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5" customFormat="1" ht="15" customHeight="1">
      <c r="A22" s="226">
        <v>9</v>
      </c>
      <c r="B22" s="227" t="s">
        <v>312</v>
      </c>
      <c r="C22" s="297">
        <f>F22+BZ22</f>
        <v>4555.1890000000003</v>
      </c>
      <c r="D22" s="297">
        <f t="shared" si="0"/>
        <v>949.33515000000011</v>
      </c>
      <c r="E22" s="228">
        <f t="shared" si="1"/>
        <v>20.840741185491975</v>
      </c>
      <c r="F22" s="229">
        <f>I22+X22+AA22+AD22+AG22+AM22+AS22+BE22+BQ22+BN22+AJ22+AY22+L22+R22+O22+U22+AP22</f>
        <v>1863.5</v>
      </c>
      <c r="G22" s="229">
        <f t="shared" si="3"/>
        <v>299.41215</v>
      </c>
      <c r="H22" s="228">
        <f t="shared" si="15"/>
        <v>16.067193453179502</v>
      </c>
      <c r="I22" s="188">
        <f>Тор!C6</f>
        <v>104.8</v>
      </c>
      <c r="J22" s="188">
        <f>Тор!D6</f>
        <v>23.092870000000001</v>
      </c>
      <c r="K22" s="228">
        <f t="shared" si="16"/>
        <v>22.035181297709926</v>
      </c>
      <c r="L22" s="228">
        <f>Тор!C8</f>
        <v>269.94</v>
      </c>
      <c r="M22" s="228">
        <f>Тор!D8</f>
        <v>69.598380000000006</v>
      </c>
      <c r="N22" s="228">
        <f t="shared" si="17"/>
        <v>25.782907312736164</v>
      </c>
      <c r="O22" s="228">
        <f>Тор!C9</f>
        <v>2.9</v>
      </c>
      <c r="P22" s="228">
        <f>Тор!D9</f>
        <v>0.46915000000000001</v>
      </c>
      <c r="Q22" s="228">
        <f t="shared" si="18"/>
        <v>16.177586206896553</v>
      </c>
      <c r="R22" s="228">
        <f>Тор!C10</f>
        <v>450.86</v>
      </c>
      <c r="S22" s="228">
        <f>Тор!D10</f>
        <v>113.36969000000001</v>
      </c>
      <c r="T22" s="228">
        <f t="shared" si="19"/>
        <v>25.145209155835513</v>
      </c>
      <c r="U22" s="228">
        <f>Тор!C11</f>
        <v>0</v>
      </c>
      <c r="V22" s="228">
        <f>Тор!D11</f>
        <v>-14.502470000000001</v>
      </c>
      <c r="W22" s="228" t="e">
        <f t="shared" si="20"/>
        <v>#DIV/0!</v>
      </c>
      <c r="X22" s="188">
        <f>Тор!C13</f>
        <v>15</v>
      </c>
      <c r="Y22" s="188">
        <f>Тор!D13</f>
        <v>25.569299999999998</v>
      </c>
      <c r="Z22" s="228">
        <f t="shared" si="21"/>
        <v>170.46199999999999</v>
      </c>
      <c r="AA22" s="188">
        <f>Тор!C15</f>
        <v>160</v>
      </c>
      <c r="AB22" s="188">
        <f>Тор!D15</f>
        <v>7.6666800000000004</v>
      </c>
      <c r="AC22" s="228">
        <f t="shared" si="22"/>
        <v>4.7916749999999997</v>
      </c>
      <c r="AD22" s="188">
        <f>Тор!C16</f>
        <v>470</v>
      </c>
      <c r="AE22" s="188">
        <f>Тор!D16</f>
        <v>43.41948</v>
      </c>
      <c r="AF22" s="228">
        <f t="shared" si="4"/>
        <v>9.2381872340425542</v>
      </c>
      <c r="AG22" s="228">
        <f>Тор!C18</f>
        <v>10</v>
      </c>
      <c r="AH22" s="228">
        <f>Тор!D18</f>
        <v>1.7</v>
      </c>
      <c r="AI22" s="228">
        <f t="shared" si="23"/>
        <v>17</v>
      </c>
      <c r="AJ22" s="228"/>
      <c r="AK22" s="228">
        <f>Тор!D20</f>
        <v>0</v>
      </c>
      <c r="AL22" s="228" t="e">
        <f t="shared" si="5"/>
        <v>#DIV/0!</v>
      </c>
      <c r="AM22" s="188">
        <v>0</v>
      </c>
      <c r="AN22" s="188">
        <v>0</v>
      </c>
      <c r="AO22" s="228" t="e">
        <f t="shared" si="6"/>
        <v>#DIV/0!</v>
      </c>
      <c r="AP22" s="188">
        <f>Тор!C27</f>
        <v>300</v>
      </c>
      <c r="AQ22" s="188">
        <f>Тор!D27</f>
        <v>0</v>
      </c>
      <c r="AR22" s="228">
        <f t="shared" si="24"/>
        <v>0</v>
      </c>
      <c r="AS22" s="188">
        <f>Тор!C28</f>
        <v>30</v>
      </c>
      <c r="AT22" s="188">
        <f>Тор!D28</f>
        <v>19.25976</v>
      </c>
      <c r="AU22" s="228">
        <f t="shared" si="25"/>
        <v>64.199200000000005</v>
      </c>
      <c r="AV22" s="188"/>
      <c r="AW22" s="188"/>
      <c r="AX22" s="228" t="e">
        <f t="shared" si="26"/>
        <v>#DIV/0!</v>
      </c>
      <c r="AY22" s="228">
        <f>Тор!C29</f>
        <v>50</v>
      </c>
      <c r="AZ22" s="228">
        <f>Тор!D29</f>
        <v>10.02694</v>
      </c>
      <c r="BA22" s="228">
        <f t="shared" si="27"/>
        <v>20.053879999999999</v>
      </c>
      <c r="BB22" s="228"/>
      <c r="BC22" s="228"/>
      <c r="BD22" s="228"/>
      <c r="BE22" s="228">
        <f>Тор!C34+Тор!C33</f>
        <v>0</v>
      </c>
      <c r="BF22" s="228">
        <f>Тор!D32</f>
        <v>0</v>
      </c>
      <c r="BG22" s="228" t="e">
        <f t="shared" si="28"/>
        <v>#DIV/0!</v>
      </c>
      <c r="BH22" s="228"/>
      <c r="BI22" s="228"/>
      <c r="BJ22" s="228" t="e">
        <f t="shared" si="29"/>
        <v>#DIV/0!</v>
      </c>
      <c r="BK22" s="228"/>
      <c r="BL22" s="228"/>
      <c r="BM22" s="228"/>
      <c r="BN22" s="228"/>
      <c r="BO22" s="228">
        <f>Тор!D35</f>
        <v>0</v>
      </c>
      <c r="BP22" s="228" t="e">
        <f t="shared" si="30"/>
        <v>#DIV/0!</v>
      </c>
      <c r="BQ22" s="228">
        <f>Тор!C37</f>
        <v>0</v>
      </c>
      <c r="BR22" s="228">
        <f>Тор!D37</f>
        <v>-0.25763000000000003</v>
      </c>
      <c r="BS22" s="228" t="e">
        <f t="shared" si="31"/>
        <v>#DIV/0!</v>
      </c>
      <c r="BT22" s="228"/>
      <c r="BU22" s="228"/>
      <c r="BV22" s="230" t="e">
        <f t="shared" si="32"/>
        <v>#DIV/0!</v>
      </c>
      <c r="BW22" s="230"/>
      <c r="BX22" s="230"/>
      <c r="BY22" s="230" t="e">
        <f t="shared" si="33"/>
        <v>#DIV/0!</v>
      </c>
      <c r="BZ22" s="188">
        <f t="shared" si="34"/>
        <v>2691.6890000000003</v>
      </c>
      <c r="CA22" s="188">
        <f t="shared" si="35"/>
        <v>649.92300000000012</v>
      </c>
      <c r="CB22" s="228">
        <f t="shared" si="53"/>
        <v>24.14554578927952</v>
      </c>
      <c r="CC22" s="228">
        <f>Тор!C42</f>
        <v>1349.229</v>
      </c>
      <c r="CD22" s="228">
        <f>Тор!D42</f>
        <v>447.56400000000002</v>
      </c>
      <c r="CE22" s="228">
        <f t="shared" si="36"/>
        <v>33.171833691686139</v>
      </c>
      <c r="CF22" s="228">
        <f>Тор!C43</f>
        <v>454</v>
      </c>
      <c r="CG22" s="228">
        <f>Тор!D43</f>
        <v>113.5</v>
      </c>
      <c r="CH22" s="228">
        <f t="shared" si="37"/>
        <v>25</v>
      </c>
      <c r="CI22" s="228">
        <f>Тор!C44</f>
        <v>682.58</v>
      </c>
      <c r="CJ22" s="228">
        <f>Тор!D44</f>
        <v>0</v>
      </c>
      <c r="CK22" s="228">
        <f t="shared" si="7"/>
        <v>0</v>
      </c>
      <c r="CL22" s="228">
        <f>Тор!C45</f>
        <v>153.28</v>
      </c>
      <c r="CM22" s="228">
        <f>Тор!D45</f>
        <v>36.259</v>
      </c>
      <c r="CN22" s="228">
        <f t="shared" si="8"/>
        <v>23.655401878914407</v>
      </c>
      <c r="CO22" s="228">
        <f>Тор!C46</f>
        <v>0</v>
      </c>
      <c r="CP22" s="228">
        <f>Тор!D46</f>
        <v>0</v>
      </c>
      <c r="CQ22" s="228"/>
      <c r="CR22" s="228">
        <f>Тор!C48</f>
        <v>52.6</v>
      </c>
      <c r="CS22" s="228">
        <f>Тор!D48</f>
        <v>52.6</v>
      </c>
      <c r="CT22" s="228">
        <f t="shared" si="9"/>
        <v>100</v>
      </c>
      <c r="CU22" s="228"/>
      <c r="CV22" s="228"/>
      <c r="CW22" s="228"/>
      <c r="CX22" s="188"/>
      <c r="CY22" s="188"/>
      <c r="CZ22" s="228" t="e">
        <f t="shared" si="38"/>
        <v>#DIV/0!</v>
      </c>
      <c r="DA22" s="228"/>
      <c r="DB22" s="228"/>
      <c r="DC22" s="228"/>
      <c r="DD22" s="228"/>
      <c r="DE22" s="228"/>
      <c r="DF22" s="228"/>
      <c r="DG22" s="188">
        <f t="shared" si="39"/>
        <v>4862.2262300000002</v>
      </c>
      <c r="DH22" s="188">
        <f t="shared" si="39"/>
        <v>654.47921999999994</v>
      </c>
      <c r="DI22" s="228">
        <f t="shared" si="40"/>
        <v>13.460484745893856</v>
      </c>
      <c r="DJ22" s="188">
        <f t="shared" si="41"/>
        <v>1103.277</v>
      </c>
      <c r="DK22" s="188">
        <f t="shared" si="41"/>
        <v>207.74213</v>
      </c>
      <c r="DL22" s="228">
        <f t="shared" si="42"/>
        <v>18.829553230965569</v>
      </c>
      <c r="DM22" s="228">
        <f>Тор!C57</f>
        <v>1093.829</v>
      </c>
      <c r="DN22" s="228">
        <f>Тор!D57</f>
        <v>207.74213</v>
      </c>
      <c r="DO22" s="228">
        <f t="shared" si="43"/>
        <v>18.99219439235932</v>
      </c>
      <c r="DP22" s="228">
        <f>Тор!C60</f>
        <v>0</v>
      </c>
      <c r="DQ22" s="228">
        <f>Тор!D60</f>
        <v>0</v>
      </c>
      <c r="DR22" s="228" t="e">
        <f t="shared" si="44"/>
        <v>#DIV/0!</v>
      </c>
      <c r="DS22" s="228">
        <f>Тор!C61</f>
        <v>5</v>
      </c>
      <c r="DT22" s="228">
        <f>Тор!D61</f>
        <v>0</v>
      </c>
      <c r="DU22" s="228">
        <f t="shared" si="45"/>
        <v>0</v>
      </c>
      <c r="DV22" s="228">
        <f>Тор!C62</f>
        <v>4.4480000000000004</v>
      </c>
      <c r="DW22" s="228">
        <f>Тор!D62</f>
        <v>0</v>
      </c>
      <c r="DX22" s="228">
        <f t="shared" si="46"/>
        <v>0</v>
      </c>
      <c r="DY22" s="228">
        <f>Тор!C64</f>
        <v>150.88</v>
      </c>
      <c r="DZ22" s="228">
        <f>+Тор!D63</f>
        <v>28.411999999999999</v>
      </c>
      <c r="EA22" s="228">
        <f t="shared" si="47"/>
        <v>18.830858960763521</v>
      </c>
      <c r="EB22" s="228">
        <f>Тор!C65</f>
        <v>7</v>
      </c>
      <c r="EC22" s="228">
        <f>Тор!D65</f>
        <v>0</v>
      </c>
      <c r="ED22" s="228">
        <f t="shared" si="48"/>
        <v>0</v>
      </c>
      <c r="EE22" s="188">
        <f>Тор!C70</f>
        <v>2008.3172299999999</v>
      </c>
      <c r="EF22" s="188">
        <f>Тор!D70</f>
        <v>136.69332</v>
      </c>
      <c r="EG22" s="228">
        <f t="shared" si="49"/>
        <v>6.8063609651947274</v>
      </c>
      <c r="EH22" s="188">
        <f>Тор!C76</f>
        <v>361.15199999999999</v>
      </c>
      <c r="EI22" s="188">
        <f>Тор!D76</f>
        <v>9.2317699999999991</v>
      </c>
      <c r="EJ22" s="228">
        <f t="shared" si="50"/>
        <v>2.5562007132730815</v>
      </c>
      <c r="EK22" s="188">
        <f>Тор!C80</f>
        <v>1221.5999999999999</v>
      </c>
      <c r="EL22" s="231">
        <f>Тор!D80</f>
        <v>272.39999999999998</v>
      </c>
      <c r="EM22" s="228">
        <f t="shared" si="10"/>
        <v>22.29862475442043</v>
      </c>
      <c r="EN22" s="228">
        <f>Тор!C82</f>
        <v>0</v>
      </c>
      <c r="EO22" s="228">
        <f>Тор!D82</f>
        <v>0</v>
      </c>
      <c r="EP22" s="228" t="e">
        <f t="shared" si="11"/>
        <v>#DIV/0!</v>
      </c>
      <c r="EQ22" s="229">
        <f>Тор!C95</f>
        <v>10</v>
      </c>
      <c r="ER22" s="229">
        <f>Тор!D95</f>
        <v>0</v>
      </c>
      <c r="ES22" s="228">
        <f t="shared" si="51"/>
        <v>0</v>
      </c>
      <c r="ET22" s="228">
        <f>Тор!C93</f>
        <v>0</v>
      </c>
      <c r="EU22" s="228">
        <f>Тор!D93</f>
        <v>0</v>
      </c>
      <c r="EV22" s="228" t="e">
        <f t="shared" si="52"/>
        <v>#DIV/0!</v>
      </c>
      <c r="EW22" s="232">
        <f t="shared" si="12"/>
        <v>-307.03722999999991</v>
      </c>
      <c r="EX22" s="232">
        <f t="shared" si="13"/>
        <v>294.85593000000017</v>
      </c>
      <c r="EY22" s="228">
        <f t="shared" si="54"/>
        <v>-96.032630961398482</v>
      </c>
      <c r="EZ22" s="233"/>
      <c r="FA22" s="234"/>
      <c r="FC22" s="234"/>
      <c r="FF22" s="361"/>
      <c r="FG22" s="361"/>
      <c r="FH22" s="361"/>
      <c r="FI22" s="361"/>
      <c r="FJ22" s="361"/>
      <c r="FK22" s="361"/>
      <c r="FL22" s="361"/>
      <c r="FM22" s="361"/>
      <c r="FN22" s="361"/>
    </row>
    <row r="23" spans="1:170" s="169" customFormat="1" ht="15" customHeight="1">
      <c r="A23" s="181">
        <v>10</v>
      </c>
      <c r="B23" s="194" t="s">
        <v>313</v>
      </c>
      <c r="C23" s="183">
        <f t="shared" si="14"/>
        <v>3606.6469999999999</v>
      </c>
      <c r="D23" s="296">
        <f t="shared" si="0"/>
        <v>653.35318999999993</v>
      </c>
      <c r="E23" s="187">
        <f t="shared" si="1"/>
        <v>18.115251922353366</v>
      </c>
      <c r="F23" s="185">
        <f t="shared" si="2"/>
        <v>967.7</v>
      </c>
      <c r="G23" s="185">
        <f t="shared" si="3"/>
        <v>120.96619</v>
      </c>
      <c r="H23" s="187">
        <f t="shared" si="15"/>
        <v>12.500381316523715</v>
      </c>
      <c r="I23" s="195">
        <f>Хор!C6</f>
        <v>85.8</v>
      </c>
      <c r="J23" s="195">
        <f>Хор!D6</f>
        <v>6.3872600000000004</v>
      </c>
      <c r="K23" s="187">
        <f t="shared" si="16"/>
        <v>7.4443589743589751</v>
      </c>
      <c r="L23" s="187">
        <f>Хор!C8</f>
        <v>123.43</v>
      </c>
      <c r="M23" s="187">
        <f>Хор!D8</f>
        <v>31.82227</v>
      </c>
      <c r="N23" s="184">
        <f t="shared" si="17"/>
        <v>25.781633314429232</v>
      </c>
      <c r="O23" s="184">
        <f>Хор!C9</f>
        <v>1.32</v>
      </c>
      <c r="P23" s="184">
        <f>Хор!D9</f>
        <v>0.21454000000000001</v>
      </c>
      <c r="Q23" s="184">
        <f t="shared" si="18"/>
        <v>16.253030303030304</v>
      </c>
      <c r="R23" s="184">
        <f>Хор!C10</f>
        <v>206.15</v>
      </c>
      <c r="S23" s="184">
        <f>Хор!D10</f>
        <v>51.835700000000003</v>
      </c>
      <c r="T23" s="184">
        <f t="shared" si="19"/>
        <v>25.1446519524618</v>
      </c>
      <c r="U23" s="184">
        <f>Хор!C11</f>
        <v>0</v>
      </c>
      <c r="V23" s="184">
        <f>Хор!D11</f>
        <v>-6.6309300000000002</v>
      </c>
      <c r="W23" s="184" t="e">
        <f t="shared" si="20"/>
        <v>#DIV/0!</v>
      </c>
      <c r="X23" s="195">
        <f>Хор!C13</f>
        <v>10</v>
      </c>
      <c r="Y23" s="195">
        <f>Хор!D13</f>
        <v>2.532</v>
      </c>
      <c r="Z23" s="187">
        <f t="shared" si="21"/>
        <v>25.319999999999997</v>
      </c>
      <c r="AA23" s="195">
        <f>Хор!C15</f>
        <v>110</v>
      </c>
      <c r="AB23" s="195">
        <f>Хор!D15</f>
        <v>0.98690999999999995</v>
      </c>
      <c r="AC23" s="187">
        <f t="shared" si="22"/>
        <v>0.89719090909090915</v>
      </c>
      <c r="AD23" s="195">
        <f>Хор!C16</f>
        <v>390</v>
      </c>
      <c r="AE23" s="195">
        <f>Хор!D16</f>
        <v>32.483249999999998</v>
      </c>
      <c r="AF23" s="187">
        <f t="shared" si="4"/>
        <v>8.3290384615384614</v>
      </c>
      <c r="AG23" s="187">
        <f>Хор!C18</f>
        <v>8</v>
      </c>
      <c r="AH23" s="187">
        <f>Хор!D18</f>
        <v>1.3</v>
      </c>
      <c r="AI23" s="187">
        <f t="shared" si="23"/>
        <v>16.25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195">
        <f>Хор!D27</f>
        <v>3.5189999999999999E-2</v>
      </c>
      <c r="AR23" s="187">
        <f t="shared" si="24"/>
        <v>0.10663636363636364</v>
      </c>
      <c r="AS23" s="188">
        <f>Хор!C28</f>
        <v>0</v>
      </c>
      <c r="AT23" s="195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187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2638.9470000000001</v>
      </c>
      <c r="CA23" s="186">
        <f>CD23+CG23+CJ23+CM23+CS23+CP23+DE23</f>
        <v>532.38699999999994</v>
      </c>
      <c r="CB23" s="187">
        <f t="shared" si="53"/>
        <v>20.174221005575326</v>
      </c>
      <c r="CC23" s="187">
        <f>Хор!C39</f>
        <v>1240.442</v>
      </c>
      <c r="CD23" s="187">
        <f>Хор!D39</f>
        <v>407.16399999999999</v>
      </c>
      <c r="CE23" s="187">
        <f t="shared" si="36"/>
        <v>32.82410624599941</v>
      </c>
      <c r="CF23" s="187">
        <f>Хор!C41</f>
        <v>730</v>
      </c>
      <c r="CG23" s="187">
        <f>Хор!D41</f>
        <v>107.5</v>
      </c>
      <c r="CH23" s="187">
        <f t="shared" si="37"/>
        <v>14.726027397260275</v>
      </c>
      <c r="CI23" s="187">
        <f>Хор!C42</f>
        <v>505.51</v>
      </c>
      <c r="CJ23" s="187">
        <f>Хор!D42</f>
        <v>0</v>
      </c>
      <c r="CK23" s="187">
        <f t="shared" si="7"/>
        <v>0</v>
      </c>
      <c r="CL23" s="187">
        <f>Хор!C43</f>
        <v>72.995000000000005</v>
      </c>
      <c r="CM23" s="187">
        <f>Хор!D43</f>
        <v>17.722999999999999</v>
      </c>
      <c r="CN23" s="187">
        <f t="shared" si="8"/>
        <v>24.279745188026574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/>
      <c r="CT23" s="187">
        <f t="shared" si="9"/>
        <v>0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3589.8865599999999</v>
      </c>
      <c r="DH23" s="195">
        <f t="shared" si="39"/>
        <v>484.90002999999996</v>
      </c>
      <c r="DI23" s="187">
        <f t="shared" si="40"/>
        <v>13.507391442474995</v>
      </c>
      <c r="DJ23" s="195">
        <f t="shared" si="41"/>
        <v>1117.251</v>
      </c>
      <c r="DK23" s="195">
        <f t="shared" si="41"/>
        <v>207.82899</v>
      </c>
      <c r="DL23" s="187">
        <f t="shared" si="42"/>
        <v>18.601817317684212</v>
      </c>
      <c r="DM23" s="187">
        <f>Хор!C56</f>
        <v>1109.5419999999999</v>
      </c>
      <c r="DN23" s="187">
        <f>Хор!D56</f>
        <v>207.82899</v>
      </c>
      <c r="DO23" s="187">
        <f t="shared" si="43"/>
        <v>18.731061104491765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0</v>
      </c>
      <c r="DX23" s="187">
        <f t="shared" si="46"/>
        <v>0</v>
      </c>
      <c r="DY23" s="187">
        <f>Хор!C63</f>
        <v>70.594999999999999</v>
      </c>
      <c r="DZ23" s="187">
        <f>Хор!D63</f>
        <v>11.19267</v>
      </c>
      <c r="EA23" s="187">
        <f t="shared" si="47"/>
        <v>15.854763085204334</v>
      </c>
      <c r="EB23" s="187">
        <f>Хор!C64</f>
        <v>4</v>
      </c>
      <c r="EC23" s="187">
        <f>Хор!D64</f>
        <v>0</v>
      </c>
      <c r="ED23" s="187">
        <f t="shared" si="48"/>
        <v>0</v>
      </c>
      <c r="EE23" s="195">
        <f>Хор!C69</f>
        <v>932.53855999999996</v>
      </c>
      <c r="EF23" s="195">
        <f>Хор!D69</f>
        <v>79.27</v>
      </c>
      <c r="EG23" s="187">
        <f t="shared" si="49"/>
        <v>8.5004527855663152</v>
      </c>
      <c r="EH23" s="195">
        <f>Хор!C74</f>
        <v>184.80199999999999</v>
      </c>
      <c r="EI23" s="195">
        <f>Хор!D74</f>
        <v>14.608370000000001</v>
      </c>
      <c r="EJ23" s="187">
        <f t="shared" si="50"/>
        <v>7.9048765705998862</v>
      </c>
      <c r="EK23" s="195">
        <f>Хор!C78</f>
        <v>1277.7</v>
      </c>
      <c r="EL23" s="197">
        <f>Хор!D78</f>
        <v>172</v>
      </c>
      <c r="EM23" s="187">
        <f t="shared" si="10"/>
        <v>13.461688972372233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0</v>
      </c>
      <c r="ES23" s="187">
        <f t="shared" si="51"/>
        <v>0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16.760440000000017</v>
      </c>
      <c r="EX23" s="191">
        <f t="shared" si="13"/>
        <v>168.45315999999997</v>
      </c>
      <c r="EY23" s="184">
        <f t="shared" si="54"/>
        <v>1005.0640675304455</v>
      </c>
      <c r="EZ23" s="192"/>
      <c r="FA23" s="193"/>
      <c r="FC23" s="193"/>
    </row>
    <row r="24" spans="1:170" s="169" customFormat="1" ht="15" customHeight="1">
      <c r="A24" s="181">
        <v>11</v>
      </c>
      <c r="B24" s="194" t="s">
        <v>314</v>
      </c>
      <c r="C24" s="183">
        <f t="shared" si="14"/>
        <v>3414.7839999999997</v>
      </c>
      <c r="D24" s="296">
        <f t="shared" si="0"/>
        <v>848.02706999999998</v>
      </c>
      <c r="E24" s="187">
        <f t="shared" si="1"/>
        <v>24.833988621242224</v>
      </c>
      <c r="F24" s="185">
        <f t="shared" si="2"/>
        <v>1071.1199999999999</v>
      </c>
      <c r="G24" s="185">
        <f t="shared" si="3"/>
        <v>164.74807000000001</v>
      </c>
      <c r="H24" s="187">
        <f t="shared" si="15"/>
        <v>15.380916237209652</v>
      </c>
      <c r="I24" s="195">
        <f>Чум!C6</f>
        <v>95.3</v>
      </c>
      <c r="J24" s="195">
        <f>Чум!D6</f>
        <v>16.186869999999999</v>
      </c>
      <c r="K24" s="187">
        <f t="shared" si="16"/>
        <v>16.985173137460649</v>
      </c>
      <c r="L24" s="187">
        <f>Чум!C8</f>
        <v>117.05</v>
      </c>
      <c r="M24" s="187">
        <f>Чум!D8</f>
        <v>30.179819999999999</v>
      </c>
      <c r="N24" s="184">
        <f t="shared" si="17"/>
        <v>25.783699273814609</v>
      </c>
      <c r="O24" s="184">
        <f>Чум!C9</f>
        <v>1.26</v>
      </c>
      <c r="P24" s="184">
        <f>Чум!D9</f>
        <v>0.20346</v>
      </c>
      <c r="Q24" s="184">
        <f t="shared" si="18"/>
        <v>16.147619047619045</v>
      </c>
      <c r="R24" s="184">
        <f>Чум!C10</f>
        <v>195.51</v>
      </c>
      <c r="S24" s="184">
        <f>Чум!D10</f>
        <v>49.160310000000003</v>
      </c>
      <c r="T24" s="184">
        <f t="shared" si="19"/>
        <v>25.144652447445146</v>
      </c>
      <c r="U24" s="184">
        <f>Чум!C11</f>
        <v>0</v>
      </c>
      <c r="V24" s="184">
        <f>Чум!D11</f>
        <v>-6.2886800000000003</v>
      </c>
      <c r="W24" s="184" t="e">
        <f t="shared" si="20"/>
        <v>#DIV/0!</v>
      </c>
      <c r="X24" s="195">
        <f>Чум!C13</f>
        <v>35</v>
      </c>
      <c r="Y24" s="195">
        <f>Чум!D13</f>
        <v>9.4053000000000004</v>
      </c>
      <c r="Z24" s="187">
        <f t="shared" si="21"/>
        <v>26.872285714285717</v>
      </c>
      <c r="AA24" s="195">
        <f>Чум!C15</f>
        <v>75</v>
      </c>
      <c r="AB24" s="195">
        <f>Чум!D15</f>
        <v>2.0588500000000001</v>
      </c>
      <c r="AC24" s="187">
        <f t="shared" si="22"/>
        <v>2.7451333333333334</v>
      </c>
      <c r="AD24" s="195">
        <f>Чум!C16</f>
        <v>460</v>
      </c>
      <c r="AE24" s="195">
        <f>Чум!D16</f>
        <v>52.677030000000002</v>
      </c>
      <c r="AF24" s="187">
        <f t="shared" si="4"/>
        <v>11.451528260869566</v>
      </c>
      <c r="AG24" s="187">
        <f>Чум!C18</f>
        <v>10</v>
      </c>
      <c r="AH24" s="187">
        <f>Чум!D18</f>
        <v>4.3</v>
      </c>
      <c r="AI24" s="187">
        <f t="shared" si="23"/>
        <v>43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195">
        <f>Чум!D27</f>
        <v>0</v>
      </c>
      <c r="AR24" s="187">
        <f t="shared" si="24"/>
        <v>0</v>
      </c>
      <c r="AS24" s="188">
        <f>Чум!C28</f>
        <v>2</v>
      </c>
      <c r="AT24" s="195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0</v>
      </c>
      <c r="AZ24" s="187">
        <f>Чум!D30</f>
        <v>6.8662700000000001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187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86">
        <f t="shared" si="34"/>
        <v>2343.6639999999998</v>
      </c>
      <c r="CA24" s="186">
        <f t="shared" ref="CA24:CA29" si="55">CD24+CG24+CJ24+CM24+CS24+CP24</f>
        <v>683.279</v>
      </c>
      <c r="CB24" s="187">
        <f t="shared" si="53"/>
        <v>29.154307102041933</v>
      </c>
      <c r="CC24" s="187">
        <f>Чум!C42</f>
        <v>1904.029</v>
      </c>
      <c r="CD24" s="187">
        <f>Чум!D42</f>
        <v>632.49599999999998</v>
      </c>
      <c r="CE24" s="187">
        <f t="shared" si="36"/>
        <v>33.218821772147379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333.54</v>
      </c>
      <c r="CJ24" s="187">
        <f>Чум!D44</f>
        <v>0</v>
      </c>
      <c r="CK24" s="187">
        <f t="shared" si="7"/>
        <v>0</v>
      </c>
      <c r="CL24" s="187">
        <f>Чум!C45</f>
        <v>72.995000000000005</v>
      </c>
      <c r="CM24" s="187">
        <f>Чум!D45</f>
        <v>17.722999999999999</v>
      </c>
      <c r="CN24" s="187">
        <f t="shared" si="8"/>
        <v>24.279745188026574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3488.4505300000001</v>
      </c>
      <c r="DH24" s="195">
        <f t="shared" si="39"/>
        <v>672.17927999999995</v>
      </c>
      <c r="DI24" s="187">
        <f t="shared" si="40"/>
        <v>19.268706098005062</v>
      </c>
      <c r="DJ24" s="195">
        <f t="shared" si="41"/>
        <v>1288.7320000000002</v>
      </c>
      <c r="DK24" s="195">
        <f t="shared" si="41"/>
        <v>241.80824999999999</v>
      </c>
      <c r="DL24" s="187">
        <f t="shared" si="42"/>
        <v>18.763268856519428</v>
      </c>
      <c r="DM24" s="187">
        <f>Чум!C58</f>
        <v>1271.9290000000001</v>
      </c>
      <c r="DN24" s="187">
        <f>Чум!D58</f>
        <v>233.80824999999999</v>
      </c>
      <c r="DO24" s="187">
        <f t="shared" si="43"/>
        <v>18.38217777879111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11.803000000000001</v>
      </c>
      <c r="DW24" s="187">
        <f>Чум!D63</f>
        <v>8</v>
      </c>
      <c r="DX24" s="187">
        <f t="shared" si="46"/>
        <v>67.779378124205707</v>
      </c>
      <c r="DY24" s="187">
        <f>Чум!C65</f>
        <v>70.594999999999999</v>
      </c>
      <c r="DZ24" s="187">
        <f>Чум!D65</f>
        <v>13.42107</v>
      </c>
      <c r="EA24" s="187">
        <f t="shared" si="47"/>
        <v>19.011360577944615</v>
      </c>
      <c r="EB24" s="187">
        <f>Чум!C66</f>
        <v>9.25</v>
      </c>
      <c r="EC24" s="187">
        <f>Чум!D66</f>
        <v>0.6</v>
      </c>
      <c r="ED24" s="187">
        <f t="shared" si="48"/>
        <v>6.4864864864864868</v>
      </c>
      <c r="EE24" s="195">
        <f>Чум!C71</f>
        <v>714.52353000000005</v>
      </c>
      <c r="EF24" s="195">
        <f>Чум!D71</f>
        <v>150.48602</v>
      </c>
      <c r="EG24" s="187">
        <f t="shared" si="49"/>
        <v>21.061030698317239</v>
      </c>
      <c r="EH24" s="195">
        <f>Чум!C76</f>
        <v>530.54999999999995</v>
      </c>
      <c r="EI24" s="195">
        <f>Чум!D76</f>
        <v>46.946939999999998</v>
      </c>
      <c r="EJ24" s="187">
        <f t="shared" si="50"/>
        <v>8.8487305626236932</v>
      </c>
      <c r="EK24" s="195">
        <f>Чум!C80</f>
        <v>872.8</v>
      </c>
      <c r="EL24" s="197">
        <f>Чум!D80</f>
        <v>218.202</v>
      </c>
      <c r="EM24" s="187">
        <f t="shared" si="10"/>
        <v>25.000229147571034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0.71499999999999997</v>
      </c>
      <c r="ES24" s="187">
        <f t="shared" si="51"/>
        <v>35.75</v>
      </c>
      <c r="ET24" s="187">
        <f>Чум!C93</f>
        <v>0</v>
      </c>
      <c r="EU24" s="187">
        <f>Чум!D93</f>
        <v>0</v>
      </c>
      <c r="EV24" s="184" t="e">
        <f t="shared" si="52"/>
        <v>#DIV/0!</v>
      </c>
      <c r="EW24" s="191">
        <f t="shared" si="12"/>
        <v>-73.666530000000421</v>
      </c>
      <c r="EX24" s="191">
        <f t="shared" si="13"/>
        <v>175.84779000000003</v>
      </c>
      <c r="EY24" s="184">
        <f t="shared" si="54"/>
        <v>-238.70785009148528</v>
      </c>
      <c r="EZ24" s="192"/>
      <c r="FA24" s="193"/>
      <c r="FC24" s="193"/>
    </row>
    <row r="25" spans="1:170" s="235" customFormat="1" ht="15" customHeight="1">
      <c r="A25" s="226">
        <v>12</v>
      </c>
      <c r="B25" s="227" t="s">
        <v>315</v>
      </c>
      <c r="C25" s="297">
        <f t="shared" si="14"/>
        <v>3435.8239999999996</v>
      </c>
      <c r="D25" s="297">
        <f t="shared" si="0"/>
        <v>727.61419000000001</v>
      </c>
      <c r="E25" s="228">
        <f t="shared" si="1"/>
        <v>21.177283527910628</v>
      </c>
      <c r="F25" s="229">
        <f t="shared" si="2"/>
        <v>909.76</v>
      </c>
      <c r="G25" s="229">
        <f t="shared" si="3"/>
        <v>109.62718999999998</v>
      </c>
      <c r="H25" s="228">
        <f t="shared" si="15"/>
        <v>12.050122010200491</v>
      </c>
      <c r="I25" s="188">
        <f>Шать!C6</f>
        <v>33.4</v>
      </c>
      <c r="J25" s="188">
        <f>Шать!D6</f>
        <v>7.5633100000000004</v>
      </c>
      <c r="K25" s="228">
        <f t="shared" si="16"/>
        <v>22.644640718562879</v>
      </c>
      <c r="L25" s="228">
        <f>Шать!C8</f>
        <v>120.24</v>
      </c>
      <c r="M25" s="228">
        <f>Шать!D8</f>
        <v>31.001049999999999</v>
      </c>
      <c r="N25" s="228">
        <f t="shared" si="17"/>
        <v>25.782643047238857</v>
      </c>
      <c r="O25" s="228">
        <f>Шать!C9</f>
        <v>1.29</v>
      </c>
      <c r="P25" s="228">
        <f>Шать!D9</f>
        <v>0.20896000000000001</v>
      </c>
      <c r="Q25" s="228">
        <f t="shared" si="18"/>
        <v>16.198449612403103</v>
      </c>
      <c r="R25" s="228">
        <f>Шать!C10</f>
        <v>200.83</v>
      </c>
      <c r="S25" s="228">
        <f>Шать!D10</f>
        <v>50.497999999999998</v>
      </c>
      <c r="T25" s="228">
        <f t="shared" si="19"/>
        <v>25.14464970372952</v>
      </c>
      <c r="U25" s="228">
        <f>Шать!C11</f>
        <v>0</v>
      </c>
      <c r="V25" s="228">
        <f>Шать!D11</f>
        <v>-6.4598599999999999</v>
      </c>
      <c r="W25" s="228" t="e">
        <f t="shared" si="20"/>
        <v>#DIV/0!</v>
      </c>
      <c r="X25" s="188">
        <f>Шать!C13</f>
        <v>10</v>
      </c>
      <c r="Y25" s="188">
        <f>Шать!D13</f>
        <v>1.5713999999999999</v>
      </c>
      <c r="Z25" s="228">
        <f t="shared" si="21"/>
        <v>15.714</v>
      </c>
      <c r="AA25" s="188">
        <f>Шать!C15</f>
        <v>40</v>
      </c>
      <c r="AB25" s="188">
        <f>Шать!D15</f>
        <v>0.29261999999999999</v>
      </c>
      <c r="AC25" s="228">
        <f t="shared" si="22"/>
        <v>0.73155000000000003</v>
      </c>
      <c r="AD25" s="188">
        <f>Шать!C16</f>
        <v>315</v>
      </c>
      <c r="AE25" s="188">
        <f>Шать!D16</f>
        <v>12.456239999999999</v>
      </c>
      <c r="AF25" s="228">
        <f t="shared" si="4"/>
        <v>3.9543619047619041</v>
      </c>
      <c r="AG25" s="228">
        <f>Шать!C18</f>
        <v>7</v>
      </c>
      <c r="AH25" s="228">
        <f>Шать!D18</f>
        <v>0.3</v>
      </c>
      <c r="AI25" s="228">
        <f t="shared" si="23"/>
        <v>4.2857142857142856</v>
      </c>
      <c r="AJ25" s="228"/>
      <c r="AK25" s="228"/>
      <c r="AL25" s="228" t="e">
        <f>AJ25/AK25*100</f>
        <v>#DIV/0!</v>
      </c>
      <c r="AM25" s="188">
        <v>0</v>
      </c>
      <c r="AN25" s="188">
        <f>0</f>
        <v>0</v>
      </c>
      <c r="AO25" s="228" t="e">
        <f t="shared" si="6"/>
        <v>#DIV/0!</v>
      </c>
      <c r="AP25" s="188">
        <f>Шать!C27</f>
        <v>115</v>
      </c>
      <c r="AQ25" s="195">
        <f>Шать!D27</f>
        <v>0</v>
      </c>
      <c r="AR25" s="228">
        <f t="shared" si="24"/>
        <v>0</v>
      </c>
      <c r="AS25" s="188">
        <f>Шать!C28</f>
        <v>17</v>
      </c>
      <c r="AT25" s="188">
        <f>Шать!D28</f>
        <v>6.5027999999999997</v>
      </c>
      <c r="AU25" s="228">
        <f t="shared" si="25"/>
        <v>38.251764705882351</v>
      </c>
      <c r="AV25" s="188"/>
      <c r="AW25" s="188"/>
      <c r="AX25" s="228" t="e">
        <f t="shared" si="26"/>
        <v>#DIV/0!</v>
      </c>
      <c r="AY25" s="228">
        <f>Шать!C29</f>
        <v>50</v>
      </c>
      <c r="AZ25" s="228">
        <f>Шать!D29</f>
        <v>5.6929699999999999</v>
      </c>
      <c r="BA25" s="228">
        <f t="shared" si="27"/>
        <v>11.38594</v>
      </c>
      <c r="BB25" s="228"/>
      <c r="BC25" s="228"/>
      <c r="BD25" s="228"/>
      <c r="BE25" s="228">
        <f>Шать!C33</f>
        <v>0</v>
      </c>
      <c r="BF25" s="228">
        <f>Шать!D33</f>
        <v>0</v>
      </c>
      <c r="BG25" s="228" t="e">
        <f t="shared" si="28"/>
        <v>#DIV/0!</v>
      </c>
      <c r="BH25" s="228"/>
      <c r="BI25" s="228"/>
      <c r="BJ25" s="228" t="e">
        <f t="shared" si="29"/>
        <v>#DIV/0!</v>
      </c>
      <c r="BK25" s="228"/>
      <c r="BL25" s="228"/>
      <c r="BM25" s="228"/>
      <c r="BN25" s="228">
        <f>Шать!C34</f>
        <v>0</v>
      </c>
      <c r="BO25" s="228">
        <f>Шать!D34</f>
        <v>0</v>
      </c>
      <c r="BP25" s="228" t="e">
        <f t="shared" si="30"/>
        <v>#DIV/0!</v>
      </c>
      <c r="BQ25" s="228">
        <f>Шать!C37</f>
        <v>0</v>
      </c>
      <c r="BR25" s="228">
        <f>Шать!D38</f>
        <v>-2.9999999999999997E-4</v>
      </c>
      <c r="BS25" s="228" t="e">
        <f t="shared" si="31"/>
        <v>#DIV/0!</v>
      </c>
      <c r="BT25" s="228"/>
      <c r="BU25" s="228"/>
      <c r="BV25" s="230" t="e">
        <f t="shared" si="32"/>
        <v>#DIV/0!</v>
      </c>
      <c r="BW25" s="230"/>
      <c r="BX25" s="230"/>
      <c r="BY25" s="230" t="e">
        <f t="shared" si="33"/>
        <v>#DIV/0!</v>
      </c>
      <c r="BZ25" s="188">
        <f t="shared" si="34"/>
        <v>2526.0639999999999</v>
      </c>
      <c r="CA25" s="188">
        <f t="shared" si="55"/>
        <v>617.98699999999997</v>
      </c>
      <c r="CB25" s="228">
        <f t="shared" si="53"/>
        <v>24.464423704229187</v>
      </c>
      <c r="CC25" s="228">
        <f>Шать!C42</f>
        <v>1229.9480000000001</v>
      </c>
      <c r="CD25" s="228">
        <f>Шать!D42</f>
        <v>403.16399999999999</v>
      </c>
      <c r="CE25" s="228">
        <f t="shared" si="36"/>
        <v>32.778946752220421</v>
      </c>
      <c r="CF25" s="228">
        <f>Шать!C43</f>
        <v>400</v>
      </c>
      <c r="CG25" s="228">
        <f>Шать!D43</f>
        <v>100</v>
      </c>
      <c r="CH25" s="228">
        <f t="shared" si="37"/>
        <v>25</v>
      </c>
      <c r="CI25" s="228">
        <f>Шать!C44</f>
        <v>726.52</v>
      </c>
      <c r="CJ25" s="228">
        <f>Шать!D44</f>
        <v>0</v>
      </c>
      <c r="CK25" s="228">
        <f t="shared" si="7"/>
        <v>0</v>
      </c>
      <c r="CL25" s="228">
        <f>Шать!C45</f>
        <v>72.495999999999995</v>
      </c>
      <c r="CM25" s="228">
        <f>Шать!D45</f>
        <v>17.722999999999999</v>
      </c>
      <c r="CN25" s="228">
        <f t="shared" si="8"/>
        <v>24.446866033988083</v>
      </c>
      <c r="CO25" s="228">
        <f>Шать!C46</f>
        <v>0</v>
      </c>
      <c r="CP25" s="228">
        <f>Шать!D46</f>
        <v>0</v>
      </c>
      <c r="CQ25" s="228"/>
      <c r="CR25" s="228">
        <f>Шать!C50</f>
        <v>97.1</v>
      </c>
      <c r="CS25" s="228">
        <f>Шать!D50</f>
        <v>97.1</v>
      </c>
      <c r="CT25" s="228">
        <f t="shared" si="9"/>
        <v>100</v>
      </c>
      <c r="CU25" s="228"/>
      <c r="CV25" s="228"/>
      <c r="CW25" s="228"/>
      <c r="CX25" s="188"/>
      <c r="CY25" s="188"/>
      <c r="CZ25" s="228" t="e">
        <f t="shared" si="38"/>
        <v>#DIV/0!</v>
      </c>
      <c r="DA25" s="228"/>
      <c r="DB25" s="228"/>
      <c r="DC25" s="228"/>
      <c r="DD25" s="228"/>
      <c r="DE25" s="228"/>
      <c r="DF25" s="228"/>
      <c r="DG25" s="188">
        <f t="shared" si="39"/>
        <v>3382.4305299999996</v>
      </c>
      <c r="DH25" s="188">
        <f t="shared" si="39"/>
        <v>456.35912000000002</v>
      </c>
      <c r="DI25" s="228">
        <f>DH25/DG25*100</f>
        <v>13.492047093129806</v>
      </c>
      <c r="DJ25" s="188">
        <f t="shared" si="41"/>
        <v>1094.7529999999999</v>
      </c>
      <c r="DK25" s="188">
        <f t="shared" si="41"/>
        <v>228.39902000000001</v>
      </c>
      <c r="DL25" s="228">
        <f t="shared" si="42"/>
        <v>20.863064088429081</v>
      </c>
      <c r="DM25" s="228">
        <f>Шать!C58</f>
        <v>1087.1479999999999</v>
      </c>
      <c r="DN25" s="228">
        <f>Шать!D58</f>
        <v>228.39902000000001</v>
      </c>
      <c r="DO25" s="228">
        <f t="shared" si="43"/>
        <v>21.009008892993414</v>
      </c>
      <c r="DP25" s="228">
        <f>Шать!C61</f>
        <v>0</v>
      </c>
      <c r="DQ25" s="228">
        <f>Шать!D61</f>
        <v>0</v>
      </c>
      <c r="DR25" s="228" t="e">
        <f t="shared" si="44"/>
        <v>#DIV/0!</v>
      </c>
      <c r="DS25" s="228">
        <f>Шать!C62</f>
        <v>5</v>
      </c>
      <c r="DT25" s="228">
        <f>Шать!D62</f>
        <v>0</v>
      </c>
      <c r="DU25" s="228">
        <f t="shared" si="45"/>
        <v>0</v>
      </c>
      <c r="DV25" s="228">
        <f>Шать!C63</f>
        <v>2.605</v>
      </c>
      <c r="DW25" s="228">
        <f>Шать!D63</f>
        <v>0</v>
      </c>
      <c r="DX25" s="228">
        <f t="shared" si="46"/>
        <v>0</v>
      </c>
      <c r="DY25" s="228">
        <f>Шать!C65</f>
        <v>70.596000000000004</v>
      </c>
      <c r="DZ25" s="228">
        <f>Шать!D65</f>
        <v>13.05072</v>
      </c>
      <c r="EA25" s="228">
        <f t="shared" si="47"/>
        <v>18.486486486486488</v>
      </c>
      <c r="EB25" s="228">
        <f>Шать!C66</f>
        <v>4</v>
      </c>
      <c r="EC25" s="228">
        <f>Шать!D66</f>
        <v>0</v>
      </c>
      <c r="ED25" s="228">
        <f t="shared" si="48"/>
        <v>0</v>
      </c>
      <c r="EE25" s="188">
        <f>Шать!C71</f>
        <v>1291.78153</v>
      </c>
      <c r="EF25" s="188">
        <f>Шать!D71</f>
        <v>54.208379999999998</v>
      </c>
      <c r="EG25" s="228">
        <f t="shared" si="49"/>
        <v>4.1964046350778839</v>
      </c>
      <c r="EH25" s="188">
        <f>Шать!C76</f>
        <v>223.6</v>
      </c>
      <c r="EI25" s="188">
        <f>Шать!D76</f>
        <v>0</v>
      </c>
      <c r="EJ25" s="228">
        <f t="shared" si="50"/>
        <v>0</v>
      </c>
      <c r="EK25" s="188">
        <f>Шать!C80</f>
        <v>693.7</v>
      </c>
      <c r="EL25" s="231">
        <f>Шать!D80</f>
        <v>156.703</v>
      </c>
      <c r="EM25" s="228">
        <f t="shared" si="10"/>
        <v>22.589447888136078</v>
      </c>
      <c r="EN25" s="228">
        <f>Шать!C82</f>
        <v>0</v>
      </c>
      <c r="EO25" s="228">
        <f>Шать!D82</f>
        <v>0</v>
      </c>
      <c r="EP25" s="228" t="e">
        <f t="shared" si="11"/>
        <v>#DIV/0!</v>
      </c>
      <c r="EQ25" s="229">
        <f>Шать!C87</f>
        <v>4</v>
      </c>
      <c r="ER25" s="229">
        <f>Шать!D87</f>
        <v>3.9980000000000002</v>
      </c>
      <c r="ES25" s="228">
        <f t="shared" si="51"/>
        <v>99.95</v>
      </c>
      <c r="ET25" s="228">
        <f>Шать!C93</f>
        <v>0</v>
      </c>
      <c r="EU25" s="228">
        <f>Шать!D93</f>
        <v>0</v>
      </c>
      <c r="EV25" s="228" t="e">
        <f t="shared" si="52"/>
        <v>#DIV/0!</v>
      </c>
      <c r="EW25" s="232">
        <f t="shared" si="12"/>
        <v>53.393469999999979</v>
      </c>
      <c r="EX25" s="232">
        <f t="shared" si="13"/>
        <v>271.25506999999999</v>
      </c>
      <c r="EY25" s="228">
        <f t="shared" si="54"/>
        <v>508.03042019932417</v>
      </c>
      <c r="EZ25" s="233"/>
      <c r="FA25" s="234"/>
      <c r="FC25" s="234"/>
    </row>
    <row r="26" spans="1:170" s="169" customFormat="1" ht="15" customHeight="1">
      <c r="A26" s="201">
        <v>13</v>
      </c>
      <c r="B26" s="194" t="s">
        <v>316</v>
      </c>
      <c r="C26" s="183">
        <f t="shared" si="14"/>
        <v>4699.18</v>
      </c>
      <c r="D26" s="296">
        <f t="shared" si="0"/>
        <v>682.17894000000001</v>
      </c>
      <c r="E26" s="187">
        <f t="shared" si="1"/>
        <v>14.516978281317167</v>
      </c>
      <c r="F26" s="185">
        <f t="shared" si="2"/>
        <v>2650.4100000000003</v>
      </c>
      <c r="G26" s="185">
        <f t="shared" si="3"/>
        <v>353.33693999999997</v>
      </c>
      <c r="H26" s="187">
        <f t="shared" si="15"/>
        <v>13.331406838941898</v>
      </c>
      <c r="I26" s="195">
        <f>Юнг!C6</f>
        <v>114.5</v>
      </c>
      <c r="J26" s="195">
        <f>Юнг!D6</f>
        <v>29.4038</v>
      </c>
      <c r="K26" s="187">
        <f t="shared" si="16"/>
        <v>25.68017467248908</v>
      </c>
      <c r="L26" s="187">
        <f>Юнг!C8</f>
        <v>185.53</v>
      </c>
      <c r="M26" s="187">
        <f>Юнг!D8</f>
        <v>47.83605</v>
      </c>
      <c r="N26" s="184">
        <f t="shared" si="17"/>
        <v>25.783458200830054</v>
      </c>
      <c r="O26" s="184">
        <f>Юнг!C9</f>
        <v>2</v>
      </c>
      <c r="P26" s="184">
        <f>Юнг!D9</f>
        <v>0.32246000000000002</v>
      </c>
      <c r="Q26" s="184">
        <f t="shared" si="18"/>
        <v>16.123000000000001</v>
      </c>
      <c r="R26" s="184">
        <f>Юнг!C10</f>
        <v>309.88</v>
      </c>
      <c r="S26" s="184">
        <f>Юнг!D10</f>
        <v>77.920749999999998</v>
      </c>
      <c r="T26" s="184">
        <f t="shared" si="19"/>
        <v>25.145459532722342</v>
      </c>
      <c r="U26" s="184">
        <f>Юнг!C11</f>
        <v>0</v>
      </c>
      <c r="V26" s="184">
        <f>Юнг!D11</f>
        <v>-9.9678199999999997</v>
      </c>
      <c r="W26" s="184" t="e">
        <f t="shared" si="20"/>
        <v>#DIV/0!</v>
      </c>
      <c r="X26" s="195">
        <f>Юнг!C13</f>
        <v>15</v>
      </c>
      <c r="Y26" s="195">
        <f>Юнг!D13</f>
        <v>0.61770000000000003</v>
      </c>
      <c r="Z26" s="187">
        <f t="shared" si="21"/>
        <v>4.1180000000000003</v>
      </c>
      <c r="AA26" s="195">
        <f>Юнг!C15</f>
        <v>150</v>
      </c>
      <c r="AB26" s="195">
        <f>Юнг!D15</f>
        <v>-0.48376999999999998</v>
      </c>
      <c r="AC26" s="187">
        <f t="shared" si="22"/>
        <v>-0.32251333333333332</v>
      </c>
      <c r="AD26" s="195">
        <f>Юнг!C16</f>
        <v>1611.5</v>
      </c>
      <c r="AE26" s="195">
        <f>Юнг!D16</f>
        <v>164.58983000000001</v>
      </c>
      <c r="AF26" s="187">
        <f t="shared" si="4"/>
        <v>10.213455165994416</v>
      </c>
      <c r="AG26" s="187">
        <f>Юнг!C18</f>
        <v>12</v>
      </c>
      <c r="AH26" s="187">
        <f>Юнг!D18</f>
        <v>3.8</v>
      </c>
      <c r="AI26" s="187">
        <f t="shared" si="23"/>
        <v>31.666666666666664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195">
        <f>Юнг!D27</f>
        <v>0</v>
      </c>
      <c r="AR26" s="187">
        <f t="shared" si="24"/>
        <v>0</v>
      </c>
      <c r="AS26" s="188">
        <f>Юнг!C28</f>
        <v>30</v>
      </c>
      <c r="AT26" s="195">
        <f>Юнг!D28</f>
        <v>6.66425</v>
      </c>
      <c r="AU26" s="187">
        <f t="shared" si="25"/>
        <v>22.214166666666664</v>
      </c>
      <c r="AV26" s="195"/>
      <c r="AW26" s="195"/>
      <c r="AX26" s="187" t="e">
        <f t="shared" si="26"/>
        <v>#DIV/0!</v>
      </c>
      <c r="AY26" s="187">
        <f>Юнг!C30</f>
        <v>0</v>
      </c>
      <c r="AZ26" s="187">
        <f>Юнг!D30</f>
        <v>28.633690000000001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Юнг!D33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187">
        <f>Юнг!D34</f>
        <v>0</v>
      </c>
      <c r="BP26" s="187" t="e">
        <f t="shared" si="30"/>
        <v>#DIV/0!</v>
      </c>
      <c r="BQ26" s="187">
        <f>Юнг!C36</f>
        <v>0</v>
      </c>
      <c r="BR26" s="187">
        <f>Юнг!D36</f>
        <v>4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86">
        <f t="shared" si="34"/>
        <v>2048.77</v>
      </c>
      <c r="CA26" s="186">
        <f t="shared" si="55"/>
        <v>328.84200000000004</v>
      </c>
      <c r="CB26" s="187">
        <f t="shared" si="53"/>
        <v>16.050703592887441</v>
      </c>
      <c r="CC26" s="187">
        <f>Юнг!C41</f>
        <v>845.98500000000001</v>
      </c>
      <c r="CD26" s="187">
        <f>Юнг!D41</f>
        <v>271.06400000000002</v>
      </c>
      <c r="CE26" s="187">
        <f t="shared" si="36"/>
        <v>32.041230045449979</v>
      </c>
      <c r="CF26" s="187">
        <f>Юнг!C42</f>
        <v>600</v>
      </c>
      <c r="CG26" s="187">
        <f>Юнг!D42</f>
        <v>0</v>
      </c>
      <c r="CH26" s="187">
        <f t="shared" si="37"/>
        <v>0</v>
      </c>
      <c r="CI26" s="187">
        <f>Юнг!C43</f>
        <v>491.39</v>
      </c>
      <c r="CJ26" s="187">
        <f>Юнг!D43</f>
        <v>0</v>
      </c>
      <c r="CK26" s="187">
        <f t="shared" si="7"/>
        <v>0</v>
      </c>
      <c r="CL26" s="187">
        <f>Юнг!C44</f>
        <v>71.295000000000002</v>
      </c>
      <c r="CM26" s="187">
        <f>Юнг!D44</f>
        <v>17.722999999999999</v>
      </c>
      <c r="CN26" s="187">
        <f t="shared" si="8"/>
        <v>24.858685742338171</v>
      </c>
      <c r="CO26" s="187">
        <f>Юнг!C45</f>
        <v>0</v>
      </c>
      <c r="CP26" s="187">
        <f>Юнг!D45</f>
        <v>0</v>
      </c>
      <c r="CQ26" s="187"/>
      <c r="CR26" s="187">
        <f>Юнг!C48</f>
        <v>40.1</v>
      </c>
      <c r="CS26" s="187">
        <f>Юнг!D48</f>
        <v>40.055</v>
      </c>
      <c r="CT26" s="187">
        <f t="shared" si="9"/>
        <v>99.887780548628427</v>
      </c>
      <c r="CU26" s="187"/>
      <c r="CV26" s="187"/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5345.8289199999999</v>
      </c>
      <c r="DH26" s="195">
        <f t="shared" si="39"/>
        <v>799.10873000000004</v>
      </c>
      <c r="DI26" s="187">
        <f t="shared" si="40"/>
        <v>14.948266058615284</v>
      </c>
      <c r="DJ26" s="195">
        <f t="shared" si="41"/>
        <v>1425.1709999999998</v>
      </c>
      <c r="DK26" s="195">
        <f t="shared" si="41"/>
        <v>249.87287000000001</v>
      </c>
      <c r="DL26" s="187">
        <f t="shared" si="42"/>
        <v>17.532834305497378</v>
      </c>
      <c r="DM26" s="187">
        <f>Юнг!C57</f>
        <v>1415.9849999999999</v>
      </c>
      <c r="DN26" s="187">
        <f>Юнг!D57</f>
        <v>249.87287000000001</v>
      </c>
      <c r="DO26" s="187">
        <f t="shared" si="43"/>
        <v>17.6465760583622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4.1859999999999999</v>
      </c>
      <c r="DW26" s="187">
        <f>Юнг!D62</f>
        <v>0</v>
      </c>
      <c r="DX26" s="187">
        <f t="shared" si="46"/>
        <v>0</v>
      </c>
      <c r="DY26" s="187">
        <f>Юнг!C64</f>
        <v>70.594999999999999</v>
      </c>
      <c r="DZ26" s="187">
        <f>Юнг!D64</f>
        <v>13.89208</v>
      </c>
      <c r="EA26" s="187">
        <f t="shared" si="47"/>
        <v>19.678560804589559</v>
      </c>
      <c r="EB26" s="187">
        <f>Юнг!C65</f>
        <v>25.3</v>
      </c>
      <c r="EC26" s="187">
        <f>Юнг!D65</f>
        <v>2.1</v>
      </c>
      <c r="ED26" s="187">
        <f t="shared" si="48"/>
        <v>8.3003952569169961</v>
      </c>
      <c r="EE26" s="195">
        <f>Юнг!C70</f>
        <v>2290.2569200000003</v>
      </c>
      <c r="EF26" s="195">
        <f>Юнг!D70</f>
        <v>181.96503999999999</v>
      </c>
      <c r="EG26" s="187">
        <f t="shared" si="49"/>
        <v>7.9451802289500328</v>
      </c>
      <c r="EH26" s="195">
        <f>Юнг!C75</f>
        <v>554.30600000000004</v>
      </c>
      <c r="EI26" s="195">
        <f>Юнг!D75</f>
        <v>63.528480000000002</v>
      </c>
      <c r="EJ26" s="187">
        <f t="shared" si="50"/>
        <v>11.460904265874806</v>
      </c>
      <c r="EK26" s="195">
        <f>Юнг!C79</f>
        <v>950.2</v>
      </c>
      <c r="EL26" s="197">
        <f>Юнг!D79</f>
        <v>285.55025999999998</v>
      </c>
      <c r="EM26" s="187">
        <f t="shared" si="10"/>
        <v>30.051595453588714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30</v>
      </c>
      <c r="ER26" s="198">
        <f>Юнг!D86</f>
        <v>2.2000000000000002</v>
      </c>
      <c r="ES26" s="187">
        <f t="shared" si="51"/>
        <v>7.333333333333333</v>
      </c>
      <c r="ET26" s="187">
        <f>Юнг!C92</f>
        <v>0</v>
      </c>
      <c r="EU26" s="187">
        <f>Юнг!D92</f>
        <v>0</v>
      </c>
      <c r="EV26" s="184" t="e">
        <f t="shared" si="52"/>
        <v>#DIV/0!</v>
      </c>
      <c r="EW26" s="191">
        <f t="shared" si="12"/>
        <v>-646.64891999999963</v>
      </c>
      <c r="EX26" s="191">
        <f t="shared" si="13"/>
        <v>-116.92979000000003</v>
      </c>
      <c r="EY26" s="184">
        <f t="shared" si="54"/>
        <v>18.082422529987383</v>
      </c>
      <c r="EZ26" s="192"/>
      <c r="FA26" s="193"/>
      <c r="FC26" s="193"/>
    </row>
    <row r="27" spans="1:170" s="169" customFormat="1" ht="15" customHeight="1">
      <c r="A27" s="181">
        <v>14</v>
      </c>
      <c r="B27" s="194" t="s">
        <v>317</v>
      </c>
      <c r="C27" s="183">
        <f t="shared" si="14"/>
        <v>7156.5300000000007</v>
      </c>
      <c r="D27" s="296">
        <f t="shared" si="0"/>
        <v>1349.05583</v>
      </c>
      <c r="E27" s="187">
        <f t="shared" si="1"/>
        <v>18.850697614626082</v>
      </c>
      <c r="F27" s="185">
        <f>I27+X27+AA27+AD27+AG27+AM27+AS27+BE27+BQ27+BN27+AJ27+AY27+L27+R27+O27+U27+AP27</f>
        <v>1498.5400000000002</v>
      </c>
      <c r="G27" s="185">
        <f t="shared" si="3"/>
        <v>315.00083000000001</v>
      </c>
      <c r="H27" s="187">
        <f t="shared" si="15"/>
        <v>21.020515301560184</v>
      </c>
      <c r="I27" s="195">
        <f>Юсь!C6</f>
        <v>105.2</v>
      </c>
      <c r="J27" s="195">
        <f>Юсь!D6</f>
        <v>17.359089999999998</v>
      </c>
      <c r="K27" s="187">
        <f t="shared" si="16"/>
        <v>16.501036121673003</v>
      </c>
      <c r="L27" s="187">
        <f>Юсь!C8</f>
        <v>250.04</v>
      </c>
      <c r="M27" s="187">
        <f>Юсь!D8</f>
        <v>64.465760000000003</v>
      </c>
      <c r="N27" s="184">
        <f t="shared" si="17"/>
        <v>25.78217885138378</v>
      </c>
      <c r="O27" s="184">
        <f>Юсь!C9</f>
        <v>2.68</v>
      </c>
      <c r="P27" s="184">
        <f>Юсь!D9</f>
        <v>0.43456</v>
      </c>
      <c r="Q27" s="184">
        <f t="shared" si="18"/>
        <v>16.214925373134328</v>
      </c>
      <c r="R27" s="184">
        <f>Юсь!C10</f>
        <v>417.62</v>
      </c>
      <c r="S27" s="184">
        <f>Юсь!D10</f>
        <v>105.0091</v>
      </c>
      <c r="T27" s="184">
        <f t="shared" si="19"/>
        <v>25.144653033858532</v>
      </c>
      <c r="U27" s="184">
        <f>Юсь!C11</f>
        <v>0</v>
      </c>
      <c r="V27" s="184">
        <f>Юсь!D11</f>
        <v>-13.43296</v>
      </c>
      <c r="W27" s="184" t="e">
        <f t="shared" si="20"/>
        <v>#DIV/0!</v>
      </c>
      <c r="X27" s="195">
        <f>Юсь!C13</f>
        <v>30</v>
      </c>
      <c r="Y27" s="195">
        <f>Юсь!D13</f>
        <v>1.6572</v>
      </c>
      <c r="Z27" s="187">
        <f t="shared" si="21"/>
        <v>5.524</v>
      </c>
      <c r="AA27" s="195">
        <f>Юсь!C15</f>
        <v>105</v>
      </c>
      <c r="AB27" s="195">
        <f>Юсь!D15</f>
        <v>9.9236000000000004</v>
      </c>
      <c r="AC27" s="187">
        <f t="shared" si="22"/>
        <v>9.4510476190476194</v>
      </c>
      <c r="AD27" s="195">
        <f>Юсь!C16</f>
        <v>420</v>
      </c>
      <c r="AE27" s="195">
        <f>Юсь!D16</f>
        <v>13.90338</v>
      </c>
      <c r="AF27" s="187">
        <f t="shared" si="4"/>
        <v>3.3103285714285717</v>
      </c>
      <c r="AG27" s="187">
        <f>Юсь!C18</f>
        <v>8</v>
      </c>
      <c r="AH27" s="187">
        <f>Юсь!D18</f>
        <v>2.4500000000000002</v>
      </c>
      <c r="AI27" s="187">
        <f t="shared" si="23"/>
        <v>30.625000000000004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195">
        <f>Юсь!D27</f>
        <v>0</v>
      </c>
      <c r="AR27" s="187" t="e">
        <f t="shared" si="24"/>
        <v>#DIV/0!</v>
      </c>
      <c r="AS27" s="188">
        <f>Юсь!C28</f>
        <v>60</v>
      </c>
      <c r="AT27" s="195">
        <f>Юсь!D28</f>
        <v>6</v>
      </c>
      <c r="AU27" s="187">
        <f t="shared" si="25"/>
        <v>10</v>
      </c>
      <c r="AV27" s="195"/>
      <c r="AW27" s="195"/>
      <c r="AX27" s="187" t="e">
        <f t="shared" si="26"/>
        <v>#DIV/0!</v>
      </c>
      <c r="AY27" s="187">
        <f>Юсь!C30</f>
        <v>100</v>
      </c>
      <c r="AZ27" s="187">
        <f>Юсь!D30</f>
        <v>107.4712</v>
      </c>
      <c r="BA27" s="187">
        <f t="shared" si="27"/>
        <v>107.47119999999998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187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5657.9900000000007</v>
      </c>
      <c r="CA27" s="186">
        <f t="shared" si="55"/>
        <v>1034.0550000000001</v>
      </c>
      <c r="CB27" s="187">
        <f t="shared" si="53"/>
        <v>18.276013213172877</v>
      </c>
      <c r="CC27" s="187">
        <f>Юсь!C39</f>
        <v>2765.9290000000001</v>
      </c>
      <c r="CD27" s="187">
        <f>Юсь!D39</f>
        <v>919.79600000000005</v>
      </c>
      <c r="CE27" s="187">
        <f t="shared" si="36"/>
        <v>33.2545050867177</v>
      </c>
      <c r="CF27" s="187">
        <f>Юсь!C41</f>
        <v>624.97</v>
      </c>
      <c r="CG27" s="187">
        <f>Юсь!D41</f>
        <v>0</v>
      </c>
      <c r="CH27" s="187">
        <f t="shared" si="37"/>
        <v>0</v>
      </c>
      <c r="CI27" s="187">
        <f>Юсь!C42</f>
        <v>2033.31</v>
      </c>
      <c r="CJ27" s="187">
        <f>Юсь!D42</f>
        <v>0</v>
      </c>
      <c r="CK27" s="187">
        <f t="shared" si="7"/>
        <v>0</v>
      </c>
      <c r="CL27" s="187">
        <f>Юсь!C43</f>
        <v>155.68100000000001</v>
      </c>
      <c r="CM27" s="187">
        <f>Юсь!D43</f>
        <v>36.259</v>
      </c>
      <c r="CN27" s="187">
        <f t="shared" si="8"/>
        <v>23.2905749577662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</v>
      </c>
      <c r="CT27" s="187">
        <f t="shared" si="9"/>
        <v>99.871959026888618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7856.3463800000009</v>
      </c>
      <c r="DH27" s="195">
        <f t="shared" si="39"/>
        <v>977.26269000000002</v>
      </c>
      <c r="DI27" s="187">
        <f t="shared" si="40"/>
        <v>12.439149736165273</v>
      </c>
      <c r="DJ27" s="195">
        <f t="shared" si="41"/>
        <v>1254.154</v>
      </c>
      <c r="DK27" s="195">
        <f t="shared" si="41"/>
        <v>247.6799</v>
      </c>
      <c r="DL27" s="187">
        <f t="shared" si="42"/>
        <v>19.748762911093852</v>
      </c>
      <c r="DM27" s="187">
        <f>Юсь!C59</f>
        <v>1244.9290000000001</v>
      </c>
      <c r="DN27" s="187">
        <f>Юсь!D59</f>
        <v>247.6799</v>
      </c>
      <c r="DO27" s="187">
        <f t="shared" si="43"/>
        <v>19.895102451625753</v>
      </c>
      <c r="DP27" s="187">
        <f>Юсь!C62</f>
        <v>0</v>
      </c>
      <c r="DQ27" s="187">
        <f>Юсь!D62</f>
        <v>0</v>
      </c>
      <c r="DR27" s="187" t="e">
        <f t="shared" si="44"/>
        <v>#DIV/0!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4.2249999999999996</v>
      </c>
      <c r="DW27" s="187">
        <f>Юсь!D64</f>
        <v>0</v>
      </c>
      <c r="DX27" s="187">
        <f t="shared" si="46"/>
        <v>0</v>
      </c>
      <c r="DY27" s="187">
        <f>Юсь!C66</f>
        <v>150.881</v>
      </c>
      <c r="DZ27" s="187">
        <f>Юсь!D66</f>
        <v>27.911999999999999</v>
      </c>
      <c r="EA27" s="187">
        <f t="shared" si="47"/>
        <v>18.49934716763542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1425.7813799999999</v>
      </c>
      <c r="EF27" s="195">
        <f>Юсь!D72</f>
        <v>167.82599999999999</v>
      </c>
      <c r="EG27" s="187">
        <f t="shared" si="49"/>
        <v>11.770808789773927</v>
      </c>
      <c r="EH27" s="195">
        <f>Юсь!C77</f>
        <v>691.77499999999998</v>
      </c>
      <c r="EI27" s="195">
        <f>Юсь!D77</f>
        <v>42.909579999999998</v>
      </c>
      <c r="EJ27" s="187">
        <f t="shared" si="50"/>
        <v>6.202823172274222</v>
      </c>
      <c r="EK27" s="195">
        <f>Юсь!C81</f>
        <v>4326.7550000000001</v>
      </c>
      <c r="EL27" s="197">
        <f>Юсь!D81</f>
        <v>490.93520999999998</v>
      </c>
      <c r="EM27" s="187">
        <f t="shared" si="10"/>
        <v>11.346498935114189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-699.81638000000021</v>
      </c>
      <c r="EX27" s="191">
        <f t="shared" si="13"/>
        <v>371.79313999999999</v>
      </c>
      <c r="EY27" s="184">
        <f t="shared" si="54"/>
        <v>-53.127241748756994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296">
        <f t="shared" si="14"/>
        <v>7765.3539999999994</v>
      </c>
      <c r="D28" s="296">
        <f t="shared" si="0"/>
        <v>1435.5699299999999</v>
      </c>
      <c r="E28" s="187">
        <f t="shared" si="1"/>
        <v>18.486857521241141</v>
      </c>
      <c r="F28" s="185">
        <f t="shared" si="2"/>
        <v>2490.75</v>
      </c>
      <c r="G28" s="185">
        <f t="shared" si="3"/>
        <v>299.24692999999996</v>
      </c>
      <c r="H28" s="187">
        <f t="shared" si="15"/>
        <v>12.014330221820735</v>
      </c>
      <c r="I28" s="195">
        <f>Яра!C6</f>
        <v>91.5</v>
      </c>
      <c r="J28" s="195">
        <f>Яра!D6</f>
        <v>32.005650000000003</v>
      </c>
      <c r="K28" s="187">
        <f t="shared" si="16"/>
        <v>34.978852459016395</v>
      </c>
      <c r="L28" s="187">
        <f>Яра!C8</f>
        <v>273.13</v>
      </c>
      <c r="M28" s="187">
        <f>Яра!D8</f>
        <v>70.419589999999999</v>
      </c>
      <c r="N28" s="184">
        <f t="shared" si="17"/>
        <v>25.782444257313369</v>
      </c>
      <c r="O28" s="184">
        <f>Яра!C9</f>
        <v>2.93</v>
      </c>
      <c r="P28" s="184">
        <f>Яра!D9</f>
        <v>0.47470000000000001</v>
      </c>
      <c r="Q28" s="184">
        <f t="shared" si="18"/>
        <v>16.201365187713311</v>
      </c>
      <c r="R28" s="184">
        <f>Яра!C10</f>
        <v>456.19</v>
      </c>
      <c r="S28" s="184">
        <f>Яра!D10</f>
        <v>114.70737</v>
      </c>
      <c r="T28" s="184">
        <f t="shared" si="19"/>
        <v>25.144648063306956</v>
      </c>
      <c r="U28" s="184">
        <f>Яра!C11</f>
        <v>0</v>
      </c>
      <c r="V28" s="184">
        <f>Яра!D11</f>
        <v>-14.6736</v>
      </c>
      <c r="W28" s="184" t="e">
        <f t="shared" si="20"/>
        <v>#DIV/0!</v>
      </c>
      <c r="X28" s="195">
        <f>Яра!C13</f>
        <v>15</v>
      </c>
      <c r="Y28" s="195">
        <f>Яра!D13</f>
        <v>1.9005000000000001</v>
      </c>
      <c r="Z28" s="187">
        <f t="shared" si="21"/>
        <v>12.67</v>
      </c>
      <c r="AA28" s="195">
        <f>Яра!C15</f>
        <v>155</v>
      </c>
      <c r="AB28" s="195">
        <f>Яра!D15</f>
        <v>7.97525</v>
      </c>
      <c r="AC28" s="187">
        <f t="shared" si="22"/>
        <v>5.1453225806451615</v>
      </c>
      <c r="AD28" s="195">
        <f>Яра!C16</f>
        <v>1450</v>
      </c>
      <c r="AE28" s="195">
        <f>Яра!D16</f>
        <v>78.458920000000006</v>
      </c>
      <c r="AF28" s="187">
        <f t="shared" si="4"/>
        <v>5.4109600000000011</v>
      </c>
      <c r="AG28" s="187">
        <f>Яра!C18</f>
        <v>12</v>
      </c>
      <c r="AH28" s="187">
        <f>Яра!D18</f>
        <v>3.75</v>
      </c>
      <c r="AI28" s="187">
        <f t="shared" si="23"/>
        <v>31.25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195">
        <f>Яра!D27</f>
        <v>4.2715300000000003</v>
      </c>
      <c r="AR28" s="187">
        <f t="shared" si="24"/>
        <v>14.238433333333333</v>
      </c>
      <c r="AS28" s="188">
        <f>Яра!C28</f>
        <v>5</v>
      </c>
      <c r="AT28" s="195">
        <f>Яра!D28</f>
        <v>0</v>
      </c>
      <c r="AU28" s="187">
        <f t="shared" si="25"/>
        <v>0</v>
      </c>
      <c r="AV28" s="195"/>
      <c r="AW28" s="195"/>
      <c r="AX28" s="187" t="e">
        <f t="shared" si="26"/>
        <v>#DIV/0!</v>
      </c>
      <c r="AY28" s="187">
        <f>Яра!C30</f>
        <v>0</v>
      </c>
      <c r="AZ28" s="187">
        <f>Яра!D30</f>
        <v>0</v>
      </c>
      <c r="BA28" s="187" t="e">
        <f t="shared" si="27"/>
        <v>#DIV/0!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Яра!C34</f>
        <v>0</v>
      </c>
      <c r="BO28" s="187">
        <f>Яра!D34</f>
        <v>0</v>
      </c>
      <c r="BP28" s="187" t="e">
        <f t="shared" si="30"/>
        <v>#DIV/0!</v>
      </c>
      <c r="BQ28" s="187">
        <f>Яра!C36</f>
        <v>0</v>
      </c>
      <c r="BR28" s="187">
        <f>Яра!D36</f>
        <v>-4.2979999999999997E-2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5274.6039999999994</v>
      </c>
      <c r="CA28" s="186">
        <f t="shared" si="55"/>
        <v>1136.3229999999999</v>
      </c>
      <c r="CB28" s="187">
        <f t="shared" si="53"/>
        <v>21.543285524373015</v>
      </c>
      <c r="CC28" s="187">
        <f>Яра!C41</f>
        <v>1793.3240000000001</v>
      </c>
      <c r="CD28" s="187">
        <f>Яра!D41</f>
        <v>589.06399999999996</v>
      </c>
      <c r="CE28" s="187">
        <f t="shared" si="36"/>
        <v>32.847605898320658</v>
      </c>
      <c r="CF28" s="187">
        <f>Яра!C42</f>
        <v>0</v>
      </c>
      <c r="CG28" s="187">
        <f>Яра!D42</f>
        <v>0</v>
      </c>
      <c r="CH28" s="187" t="e">
        <f t="shared" si="37"/>
        <v>#DIV/0!</v>
      </c>
      <c r="CI28" s="187">
        <f>Яра!C43</f>
        <v>2815.8</v>
      </c>
      <c r="CJ28" s="187">
        <f>Яра!D43</f>
        <v>0</v>
      </c>
      <c r="CK28" s="187">
        <f t="shared" si="7"/>
        <v>0</v>
      </c>
      <c r="CL28" s="187">
        <f>Яра!C44</f>
        <v>154.47999999999999</v>
      </c>
      <c r="CM28" s="187">
        <f>Яра!D44</f>
        <v>36.259</v>
      </c>
      <c r="CN28" s="187">
        <f t="shared" si="8"/>
        <v>23.471646815121698</v>
      </c>
      <c r="CO28" s="187">
        <f>Яра!C46</f>
        <v>0</v>
      </c>
      <c r="CP28" s="187">
        <f>Яра!D46</f>
        <v>0</v>
      </c>
      <c r="CQ28" s="187"/>
      <c r="CR28" s="187">
        <f>Яра!C50</f>
        <v>511</v>
      </c>
      <c r="CS28" s="187">
        <f>Яра!D50</f>
        <v>511</v>
      </c>
      <c r="CT28" s="187">
        <f t="shared" si="9"/>
        <v>100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Яра!D45</f>
        <v>0</v>
      </c>
      <c r="DC28" s="187" t="e">
        <f>DB28/DA28</f>
        <v>#DIV/0!</v>
      </c>
      <c r="DD28" s="187"/>
      <c r="DE28" s="187"/>
      <c r="DF28" s="187"/>
      <c r="DG28" s="195">
        <f t="shared" si="39"/>
        <v>9912.9393299999992</v>
      </c>
      <c r="DH28" s="195">
        <f t="shared" si="39"/>
        <v>1224.62049</v>
      </c>
      <c r="DI28" s="187">
        <f t="shared" si="40"/>
        <v>12.353757540852417</v>
      </c>
      <c r="DJ28" s="195">
        <f t="shared" si="41"/>
        <v>1278.6490000000001</v>
      </c>
      <c r="DK28" s="195">
        <f t="shared" si="41"/>
        <v>291.74446</v>
      </c>
      <c r="DL28" s="187">
        <f t="shared" si="42"/>
        <v>22.816618164953788</v>
      </c>
      <c r="DM28" s="187">
        <f>Яра!C58</f>
        <v>1255.8240000000001</v>
      </c>
      <c r="DN28" s="187">
        <f>Яра!D58</f>
        <v>286.29446000000002</v>
      </c>
      <c r="DO28" s="187">
        <f t="shared" si="43"/>
        <v>22.797339436099325</v>
      </c>
      <c r="DP28" s="187">
        <f>Яра!C61</f>
        <v>0</v>
      </c>
      <c r="DQ28" s="187">
        <f>Яра!D61</f>
        <v>0</v>
      </c>
      <c r="DR28" s="187" t="e">
        <f t="shared" si="44"/>
        <v>#DIV/0!</v>
      </c>
      <c r="DS28" s="187">
        <f>Яра!C62</f>
        <v>5</v>
      </c>
      <c r="DT28" s="187">
        <f>Яра!D62</f>
        <v>0</v>
      </c>
      <c r="DU28" s="187">
        <f t="shared" si="45"/>
        <v>0</v>
      </c>
      <c r="DV28" s="187">
        <f>Яра!C63</f>
        <v>17.824999999999999</v>
      </c>
      <c r="DW28" s="187">
        <f>Яра!D63</f>
        <v>5.45</v>
      </c>
      <c r="DX28" s="187">
        <f t="shared" si="46"/>
        <v>30.57503506311361</v>
      </c>
      <c r="DY28" s="187">
        <f>Яра!C65</f>
        <v>150.88</v>
      </c>
      <c r="DZ28" s="187">
        <f>Яра!D64</f>
        <v>28.712</v>
      </c>
      <c r="EA28" s="187">
        <f t="shared" si="47"/>
        <v>19.029692470837752</v>
      </c>
      <c r="EB28" s="187">
        <f>Яра!C66</f>
        <v>10</v>
      </c>
      <c r="EC28" s="187">
        <f>Яра!D66</f>
        <v>4.1749999999999998</v>
      </c>
      <c r="ED28" s="187">
        <f t="shared" si="48"/>
        <v>41.75</v>
      </c>
      <c r="EE28" s="195">
        <f>Яра!C71</f>
        <v>5071.0703299999996</v>
      </c>
      <c r="EF28" s="195">
        <f>Яра!D71</f>
        <v>226.29202000000001</v>
      </c>
      <c r="EG28" s="187">
        <f t="shared" si="49"/>
        <v>4.4624113899836217</v>
      </c>
      <c r="EH28" s="195">
        <f>Яра!C76</f>
        <v>476.375</v>
      </c>
      <c r="EI28" s="195">
        <f>Яра!D76</f>
        <v>38.29701</v>
      </c>
      <c r="EJ28" s="187">
        <f t="shared" si="50"/>
        <v>8.0392568879559168</v>
      </c>
      <c r="EK28" s="195">
        <f>Яра!C80</f>
        <v>2866.9650000000001</v>
      </c>
      <c r="EL28" s="197">
        <f>Яра!D80</f>
        <v>625.4</v>
      </c>
      <c r="EM28" s="187">
        <f t="shared" si="10"/>
        <v>21.814008890935185</v>
      </c>
      <c r="EN28" s="187">
        <f>Яра!C82</f>
        <v>0</v>
      </c>
      <c r="EO28" s="187">
        <f>Яра!D82</f>
        <v>0</v>
      </c>
      <c r="EP28" s="187" t="e">
        <f t="shared" si="11"/>
        <v>#DIV/0!</v>
      </c>
      <c r="EQ28" s="198">
        <f>Яра!C87</f>
        <v>59</v>
      </c>
      <c r="ER28" s="198">
        <f>Яра!D87</f>
        <v>10</v>
      </c>
      <c r="ES28" s="187">
        <f t="shared" si="51"/>
        <v>16.949152542372879</v>
      </c>
      <c r="ET28" s="187">
        <f>Яра!C93</f>
        <v>0</v>
      </c>
      <c r="EU28" s="187">
        <f>Яра!D93</f>
        <v>0</v>
      </c>
      <c r="EV28" s="184" t="e">
        <f t="shared" si="52"/>
        <v>#DIV/0!</v>
      </c>
      <c r="EW28" s="191">
        <f t="shared" si="12"/>
        <v>-2147.5853299999999</v>
      </c>
      <c r="EX28" s="191">
        <f t="shared" si="13"/>
        <v>210.94943999999987</v>
      </c>
      <c r="EY28" s="184">
        <f t="shared" si="54"/>
        <v>-9.8226336831980436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8131.2780000000002</v>
      </c>
      <c r="D29" s="296">
        <f t="shared" si="0"/>
        <v>685.18761999999992</v>
      </c>
      <c r="E29" s="184">
        <f t="shared" si="1"/>
        <v>8.4265673858402064</v>
      </c>
      <c r="F29" s="185">
        <f t="shared" si="2"/>
        <v>1800.1619999999998</v>
      </c>
      <c r="G29" s="185">
        <f t="shared" si="3"/>
        <v>184.56961999999999</v>
      </c>
      <c r="H29" s="184">
        <f t="shared" si="15"/>
        <v>10.252945012726633</v>
      </c>
      <c r="I29" s="186">
        <f>Яро!C6</f>
        <v>91.6</v>
      </c>
      <c r="J29" s="195">
        <f>Яро!D6</f>
        <v>22.00198</v>
      </c>
      <c r="K29" s="184">
        <f t="shared" si="16"/>
        <v>24.019628820960701</v>
      </c>
      <c r="L29" s="184">
        <f>Яро!C8</f>
        <v>156.87</v>
      </c>
      <c r="M29" s="184">
        <f>Яро!D8</f>
        <v>40.445079999999997</v>
      </c>
      <c r="N29" s="184">
        <f t="shared" si="17"/>
        <v>25.782546057244847</v>
      </c>
      <c r="O29" s="184">
        <f>Яро!C9</f>
        <v>1.68</v>
      </c>
      <c r="P29" s="184">
        <f>Яро!D9</f>
        <v>0.27263999999999999</v>
      </c>
      <c r="Q29" s="184">
        <f t="shared" si="18"/>
        <v>16.228571428571428</v>
      </c>
      <c r="R29" s="184">
        <f>Яро!C10</f>
        <v>262.01</v>
      </c>
      <c r="S29" s="184">
        <f>Яро!D10</f>
        <v>65.881500000000003</v>
      </c>
      <c r="T29" s="184">
        <f t="shared" si="19"/>
        <v>25.144650967520327</v>
      </c>
      <c r="U29" s="184">
        <f>Яро!C11</f>
        <v>0</v>
      </c>
      <c r="V29" s="184">
        <f>Яро!D11</f>
        <v>-8.4277700000000006</v>
      </c>
      <c r="W29" s="184" t="e">
        <f t="shared" si="20"/>
        <v>#DIV/0!</v>
      </c>
      <c r="X29" s="186">
        <f>Яро!C13</f>
        <v>5</v>
      </c>
      <c r="Y29" s="186">
        <f>Яро!D13</f>
        <v>0</v>
      </c>
      <c r="Z29" s="184">
        <f t="shared" si="21"/>
        <v>0</v>
      </c>
      <c r="AA29" s="186">
        <f>Яро!C15</f>
        <v>235</v>
      </c>
      <c r="AB29" s="186">
        <f>Яро!D15</f>
        <v>1.9697</v>
      </c>
      <c r="AC29" s="184">
        <f t="shared" si="22"/>
        <v>0.83817021276595749</v>
      </c>
      <c r="AD29" s="186">
        <f>Яро!C16</f>
        <v>990</v>
      </c>
      <c r="AE29" s="186">
        <f>Яро!D16</f>
        <v>61.298929999999999</v>
      </c>
      <c r="AF29" s="184">
        <f t="shared" si="4"/>
        <v>6.1918111111111109</v>
      </c>
      <c r="AG29" s="184">
        <f>Яро!C18</f>
        <v>8.0020000000000007</v>
      </c>
      <c r="AH29" s="184">
        <f>Яро!D18</f>
        <v>1</v>
      </c>
      <c r="AI29" s="184">
        <f t="shared" si="23"/>
        <v>12.496875781054735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50</v>
      </c>
      <c r="AQ29" s="186">
        <f>Яро!D27</f>
        <v>0.12756000000000001</v>
      </c>
      <c r="AR29" s="184">
        <f t="shared" si="24"/>
        <v>0.25512000000000001</v>
      </c>
      <c r="AS29" s="188">
        <v>0</v>
      </c>
      <c r="AT29" s="186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6331.116</v>
      </c>
      <c r="CA29" s="186">
        <f t="shared" si="55"/>
        <v>500.61799999999999</v>
      </c>
      <c r="CB29" s="184">
        <f t="shared" si="53"/>
        <v>7.9072631112745375</v>
      </c>
      <c r="CC29" s="187">
        <f>Яро!C39</f>
        <v>959.1400000000001</v>
      </c>
      <c r="CD29" s="187">
        <f>Яро!D39</f>
        <v>313.39600000000002</v>
      </c>
      <c r="CE29" s="184">
        <f t="shared" si="36"/>
        <v>32.674687741101401</v>
      </c>
      <c r="CF29" s="184">
        <f>Яро!C40</f>
        <v>386</v>
      </c>
      <c r="CG29" s="184">
        <f>Яро!D40</f>
        <v>96.5</v>
      </c>
      <c r="CH29" s="184">
        <f t="shared" si="37"/>
        <v>25</v>
      </c>
      <c r="CI29" s="184">
        <f>Яро!C41</f>
        <v>4832.88</v>
      </c>
      <c r="CJ29" s="184">
        <f>Яро!D41</f>
        <v>0</v>
      </c>
      <c r="CK29" s="184">
        <f t="shared" si="7"/>
        <v>0</v>
      </c>
      <c r="CL29" s="184">
        <f>Яро!C42</f>
        <v>73.096000000000004</v>
      </c>
      <c r="CM29" s="184">
        <f>Яро!D42</f>
        <v>17.722000000000001</v>
      </c>
      <c r="CN29" s="184">
        <f t="shared" si="8"/>
        <v>24.244828718397724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184">
        <f>Яро!C45</f>
        <v>80</v>
      </c>
      <c r="CS29" s="184">
        <f>Яро!D45</f>
        <v>73</v>
      </c>
      <c r="CT29" s="184">
        <f t="shared" si="9"/>
        <v>91.25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8184.9378699999997</v>
      </c>
      <c r="DH29" s="186">
        <f t="shared" si="39"/>
        <v>561.16301999999996</v>
      </c>
      <c r="DI29" s="184">
        <f t="shared" si="40"/>
        <v>6.8560449561482137</v>
      </c>
      <c r="DJ29" s="186">
        <f t="shared" si="41"/>
        <v>1249.1679999999999</v>
      </c>
      <c r="DK29" s="186">
        <f t="shared" si="41"/>
        <v>247.55278999999999</v>
      </c>
      <c r="DL29" s="184">
        <f t="shared" si="42"/>
        <v>19.817413670539111</v>
      </c>
      <c r="DM29" s="184">
        <f>Яро!C55</f>
        <v>1242.04</v>
      </c>
      <c r="DN29" s="184">
        <f>Яро!D55</f>
        <v>247.55278999999999</v>
      </c>
      <c r="DO29" s="184">
        <f t="shared" si="43"/>
        <v>19.931144729638337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2.1280000000000001</v>
      </c>
      <c r="DW29" s="184">
        <f>Яро!D60</f>
        <v>0</v>
      </c>
      <c r="DX29" s="184">
        <f t="shared" si="46"/>
        <v>0</v>
      </c>
      <c r="DY29" s="184">
        <f>Яро!C61</f>
        <v>70.596000000000004</v>
      </c>
      <c r="DZ29" s="184">
        <f>Яро!D61</f>
        <v>11.65504</v>
      </c>
      <c r="EA29" s="184">
        <f t="shared" si="47"/>
        <v>16.50949062269817</v>
      </c>
      <c r="EB29" s="184">
        <f>Яро!C63</f>
        <v>22</v>
      </c>
      <c r="EC29" s="184">
        <f>Яро!D63</f>
        <v>1.6060000000000001</v>
      </c>
      <c r="ED29" s="184">
        <f t="shared" si="48"/>
        <v>7.3000000000000007</v>
      </c>
      <c r="EE29" s="186">
        <f>Яро!C68</f>
        <v>1203.6738700000001</v>
      </c>
      <c r="EF29" s="186">
        <f>Яро!D68</f>
        <v>100.01</v>
      </c>
      <c r="EG29" s="184">
        <f t="shared" si="49"/>
        <v>8.3087290081324117</v>
      </c>
      <c r="EH29" s="186">
        <f>Яро!C73</f>
        <v>290</v>
      </c>
      <c r="EI29" s="186">
        <f>Яро!D73</f>
        <v>24.324190000000002</v>
      </c>
      <c r="EJ29" s="184">
        <f t="shared" si="50"/>
        <v>8.3876517241379318</v>
      </c>
      <c r="EK29" s="186">
        <f>Яро!C78</f>
        <v>5344.5</v>
      </c>
      <c r="EL29" s="190">
        <f>Яро!D77</f>
        <v>174</v>
      </c>
      <c r="EM29" s="184">
        <f t="shared" si="10"/>
        <v>3.2556834128543364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5</v>
      </c>
      <c r="ER29" s="185">
        <f>Яро!D84</f>
        <v>2.0150000000000001</v>
      </c>
      <c r="ES29" s="184">
        <f t="shared" si="51"/>
        <v>40.300000000000004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-53.659869999999501</v>
      </c>
      <c r="EX29" s="191">
        <f t="shared" si="13"/>
        <v>124.02459999999996</v>
      </c>
      <c r="EY29" s="184">
        <f t="shared" si="54"/>
        <v>-231.13101093983479</v>
      </c>
      <c r="EZ29" s="192"/>
      <c r="FA29" s="193"/>
      <c r="FC29" s="193"/>
    </row>
    <row r="30" spans="1:170" s="169" customFormat="1" ht="17.25" customHeight="1">
      <c r="A30" s="202"/>
      <c r="B30" s="203"/>
      <c r="C30" s="183"/>
      <c r="D30" s="298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186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4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3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6" customFormat="1" ht="17.25" customHeight="1">
      <c r="A31" s="423" t="s">
        <v>180</v>
      </c>
      <c r="B31" s="424"/>
      <c r="C31" s="299">
        <f>SUM(C14:C29)</f>
        <v>100151.06538999999</v>
      </c>
      <c r="D31" s="299">
        <f>SUM(D14:D29)</f>
        <v>17152.532000000003</v>
      </c>
      <c r="E31" s="205">
        <f>D31/C31*100</f>
        <v>17.126659544964433</v>
      </c>
      <c r="F31" s="237">
        <f>SUM(F14:F29)</f>
        <v>36610.241999999998</v>
      </c>
      <c r="G31" s="236">
        <f>SUM(G14:G29)</f>
        <v>5396.113620000001</v>
      </c>
      <c r="H31" s="239">
        <f>G31/F31*100</f>
        <v>14.739355232888112</v>
      </c>
      <c r="I31" s="236">
        <f>SUM(I14:I29)</f>
        <v>5106.9000000000005</v>
      </c>
      <c r="J31" s="236">
        <f>SUM(J14:J29)</f>
        <v>1117.8996799999998</v>
      </c>
      <c r="K31" s="239">
        <f>J31/I31*100</f>
        <v>21.889985705613967</v>
      </c>
      <c r="L31" s="239">
        <f>SUM(L14:L29)</f>
        <v>3005.21</v>
      </c>
      <c r="M31" s="239">
        <f>SUM(M14:M29)</f>
        <v>774.82088999999996</v>
      </c>
      <c r="N31" s="239">
        <f>M31/L31*100</f>
        <v>25.782587240159589</v>
      </c>
      <c r="O31" s="239">
        <f>SUM(O14:O29)</f>
        <v>32.24</v>
      </c>
      <c r="P31" s="239">
        <f>SUM(P14:P29)</f>
        <v>5.2231600000000009</v>
      </c>
      <c r="Q31" s="239">
        <f>P31/O31*100</f>
        <v>16.200868486352359</v>
      </c>
      <c r="R31" s="239">
        <f>SUM(R14:R29)</f>
        <v>5019.3900000000003</v>
      </c>
      <c r="S31" s="239">
        <f>SUM(S14:S29)</f>
        <v>1262.1156600000002</v>
      </c>
      <c r="T31" s="239">
        <f>S31/R31*100</f>
        <v>25.144801659165754</v>
      </c>
      <c r="U31" s="239">
        <f>SUM(U14:U29)</f>
        <v>0</v>
      </c>
      <c r="V31" s="239">
        <f>SUM(V14:V29)</f>
        <v>-161.45246000000003</v>
      </c>
      <c r="W31" s="239" t="e">
        <f>V31/U31*100</f>
        <v>#DIV/0!</v>
      </c>
      <c r="X31" s="236">
        <f>SUM(X14:X29)</f>
        <v>380</v>
      </c>
      <c r="Y31" s="236">
        <f>SUM(Y14:Y29)</f>
        <v>173.29011000000003</v>
      </c>
      <c r="Z31" s="239">
        <f>Y31/X31*100</f>
        <v>45.602660526315795</v>
      </c>
      <c r="AA31" s="236">
        <f>SUM(AA14:AA29)</f>
        <v>2750</v>
      </c>
      <c r="AB31" s="236">
        <f>SUM(AB14:AB29)</f>
        <v>118.49983</v>
      </c>
      <c r="AC31" s="239">
        <f>AB31/AA31*100</f>
        <v>4.3090847272727277</v>
      </c>
      <c r="AD31" s="236">
        <f>SUM(AD14:AD29)</f>
        <v>17529.2</v>
      </c>
      <c r="AE31" s="236">
        <f>SUM(AE14:AE29)</f>
        <v>1676.3593100000001</v>
      </c>
      <c r="AF31" s="239">
        <f>AE31/AD31*100</f>
        <v>9.5632391095999818</v>
      </c>
      <c r="AG31" s="300">
        <f>SUM(AG14:AG29)</f>
        <v>130.00200000000001</v>
      </c>
      <c r="AH31" s="239">
        <f>SUM(AH14:AH29)</f>
        <v>39.500000000000007</v>
      </c>
      <c r="AI31" s="184">
        <f t="shared" si="23"/>
        <v>30.384147936185602</v>
      </c>
      <c r="AJ31" s="236">
        <f>AJ14+AJ15+AJ16+AJ17+AJ18+AJ19+AJ20+AJ21+AJ22+AJ23+AJ24+AJ25+AJ26+AJ27+AJ28+AJ29</f>
        <v>0</v>
      </c>
      <c r="AK31" s="236">
        <f>AK14+AK15+AK16+AK17+AK18+AK19+AK20+AK21+AK22+AK23+AK24+AK25+AK26+AK27+AK28+AK29</f>
        <v>0</v>
      </c>
      <c r="AL31" s="184" t="e">
        <f>AK31/AJ31*100</f>
        <v>#DIV/0!</v>
      </c>
      <c r="AM31" s="236">
        <f>SUM(AM14:AM29)</f>
        <v>0</v>
      </c>
      <c r="AN31" s="236">
        <f>SUM(AN14:AN29)</f>
        <v>0</v>
      </c>
      <c r="AO31" s="239" t="e">
        <f>AN31/AM31*100</f>
        <v>#DIV/0!</v>
      </c>
      <c r="AP31" s="236">
        <f>SUM(AP14:AP29)</f>
        <v>1521.3</v>
      </c>
      <c r="AQ31" s="236">
        <f>SUM(AQ14:AQ29)</f>
        <v>-266.5772</v>
      </c>
      <c r="AR31" s="239">
        <f>AQ31/AP31*100</f>
        <v>-17.522986919082363</v>
      </c>
      <c r="AS31" s="236">
        <f>SUM(AS14:AS29)</f>
        <v>300</v>
      </c>
      <c r="AT31" s="236">
        <f>SUM(AT14:AT29)</f>
        <v>71.3857</v>
      </c>
      <c r="AU31" s="239">
        <f>AT31/AS31*100</f>
        <v>23.795233333333332</v>
      </c>
      <c r="AV31" s="236">
        <f>SUM(AV14:AV29)</f>
        <v>0</v>
      </c>
      <c r="AW31" s="236">
        <f>SUM(AW14:AW29)</f>
        <v>0</v>
      </c>
      <c r="AX31" s="239" t="e">
        <f>AW31/AV31*100</f>
        <v>#DIV/0!</v>
      </c>
      <c r="AY31" s="239">
        <f>SUM(AY14:AY29)</f>
        <v>250</v>
      </c>
      <c r="AZ31" s="239">
        <f>SUM(AZ14:AZ29)</f>
        <v>198.59316999999999</v>
      </c>
      <c r="BA31" s="184">
        <f t="shared" si="27"/>
        <v>79.437267999999989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7">
        <f>SUM(BE14:BE29)</f>
        <v>586</v>
      </c>
      <c r="BF31" s="236">
        <f>SUM(BF14:BF29)</f>
        <v>474</v>
      </c>
      <c r="BG31" s="236">
        <f t="shared" si="28"/>
        <v>80.887372013651884</v>
      </c>
      <c r="BH31" s="236">
        <f>SUM(BH14:BH29)</f>
        <v>0</v>
      </c>
      <c r="BI31" s="236">
        <f>SUM(BI14:BI29)</f>
        <v>0</v>
      </c>
      <c r="BJ31" s="239" t="e">
        <f>BI31/BH31*100</f>
        <v>#DIV/0!</v>
      </c>
      <c r="BK31" s="239">
        <f>SUM(BK14:BK29)</f>
        <v>0</v>
      </c>
      <c r="BL31" s="239">
        <f>BL15+BL27+BL28+BL19+BL22+BL26+BL18</f>
        <v>0</v>
      </c>
      <c r="BM31" s="239" t="e">
        <f>BL31/BK31*100</f>
        <v>#DIV/0!</v>
      </c>
      <c r="BN31" s="239">
        <f>BN14+BN15+BN16+BN17+BN18+BN19+BN20+BN21+BN22+BN23+BN24+BN25+BN26+BN27+BN28+BN29</f>
        <v>0</v>
      </c>
      <c r="BO31" s="239">
        <f>BO14+BO15+BO16+BO17+BO18+BO19+BO20+BO21+BO22+BO23+BO24+BO25+BO26+BO27+BO28+BO29</f>
        <v>0</v>
      </c>
      <c r="BP31" s="239" t="e">
        <f>BO31/BN31*100</f>
        <v>#DIV/0!</v>
      </c>
      <c r="BQ31" s="236">
        <f>SUM(BQ14:BQ29)</f>
        <v>0</v>
      </c>
      <c r="BR31" s="236">
        <f>SUM(BR14:BR29)</f>
        <v>-87.544229999999999</v>
      </c>
      <c r="BS31" s="239" t="e">
        <f>BR31/BQ31*100</f>
        <v>#DIV/0!</v>
      </c>
      <c r="BT31" s="239">
        <f t="shared" ref="BT31:BY31" si="56">SUM(BT14:BT29)</f>
        <v>0</v>
      </c>
      <c r="BU31" s="239"/>
      <c r="BV31" s="239" t="e">
        <f t="shared" si="56"/>
        <v>#DIV/0!</v>
      </c>
      <c r="BW31" s="239">
        <f t="shared" si="56"/>
        <v>0</v>
      </c>
      <c r="BX31" s="239">
        <f t="shared" si="56"/>
        <v>0</v>
      </c>
      <c r="BY31" s="301" t="e">
        <f t="shared" si="56"/>
        <v>#DIV/0!</v>
      </c>
      <c r="BZ31" s="237">
        <f>SUM(BZ14:BZ29)</f>
        <v>63540.82338999999</v>
      </c>
      <c r="CA31" s="236">
        <f>SUM(CA14:CA29)</f>
        <v>11756.418380000001</v>
      </c>
      <c r="CB31" s="236">
        <f t="shared" si="53"/>
        <v>18.50214988219718</v>
      </c>
      <c r="CC31" s="236">
        <f>SUM(CC14:CC29)</f>
        <v>28497.423999999999</v>
      </c>
      <c r="CD31" s="236">
        <f>SUM(CD14:CD29)</f>
        <v>9390.0000000000018</v>
      </c>
      <c r="CE31" s="236">
        <f>CD31/CC31*100</f>
        <v>32.950346669930596</v>
      </c>
      <c r="CF31" s="237">
        <f>SUM(CF14:CF29)</f>
        <v>4509.97</v>
      </c>
      <c r="CG31" s="236">
        <f>SUM(CG14:CG29)</f>
        <v>567.5</v>
      </c>
      <c r="CH31" s="236">
        <f>CG31/CF31*100</f>
        <v>12.583232260968478</v>
      </c>
      <c r="CI31" s="236">
        <f>SUM(CI14:CI29)</f>
        <v>26388.126390000001</v>
      </c>
      <c r="CJ31" s="236">
        <f>SUM(CJ14:CJ29)</f>
        <v>0</v>
      </c>
      <c r="CK31" s="236">
        <f>CJ31/CI31*100</f>
        <v>0</v>
      </c>
      <c r="CL31" s="236">
        <f>SUM(CL14:CL29)</f>
        <v>1835.3000000000002</v>
      </c>
      <c r="CM31" s="236">
        <f>SUM(CM14:CM29)</f>
        <v>432.67000000000007</v>
      </c>
      <c r="CN31" s="236">
        <f t="shared" si="8"/>
        <v>23.574892388165424</v>
      </c>
      <c r="CO31" s="236">
        <f>SUM(CO14:CO29)</f>
        <v>0</v>
      </c>
      <c r="CP31" s="236">
        <f>SUM(CP14:CP29)</f>
        <v>0</v>
      </c>
      <c r="CQ31" s="236" t="e">
        <f>CP31/CO31*100</f>
        <v>#DIV/0!</v>
      </c>
      <c r="CR31" s="236">
        <f>SUM(CR14:CR29)</f>
        <v>2310.0029999999997</v>
      </c>
      <c r="CS31" s="236">
        <f>SUM(CS14:CS29)</f>
        <v>1368.41597</v>
      </c>
      <c r="CT31" s="236">
        <f t="shared" si="9"/>
        <v>59.238709646697444</v>
      </c>
      <c r="CU31" s="236">
        <f>SUM(CU14:CU29)</f>
        <v>0</v>
      </c>
      <c r="CV31" s="236">
        <f>SUM(CV14:CV29)</f>
        <v>-2.1675900000000001</v>
      </c>
      <c r="CW31" s="236" t="e">
        <f>CV31/CU31*100</f>
        <v>#DIV/0!</v>
      </c>
      <c r="CX31" s="236">
        <f>SUM(CX14:CX29)</f>
        <v>0</v>
      </c>
      <c r="CY31" s="236">
        <f>SUM(CY14:CY29)</f>
        <v>0</v>
      </c>
      <c r="CZ31" s="239" t="e">
        <f>CY31/CX31*100</f>
        <v>#DIV/0!</v>
      </c>
      <c r="DA31" s="239">
        <f>DA14+DA15+DA16+DA17+DA18+DA19+DA20+DA21+DA22+DA23+DA24+DA25+DA26+DA27+DA28+DA29</f>
        <v>0</v>
      </c>
      <c r="DB31" s="239">
        <f>DB14+DB15+DB16+DB17+DB18+DB19+DB20+DB21+DB22+DB23+DB24+DB25+DB26+DB27+DB28+DB29</f>
        <v>0</v>
      </c>
      <c r="DC31" s="239" t="e">
        <f>DB31/DA31*100</f>
        <v>#DIV/0!</v>
      </c>
      <c r="DD31" s="239">
        <f>DD14+DD15+DD16+DD17+DD18+DD19+DD20+DD21+DD22+DD23+DD24+DD25+DD26+DD27+DD28+DD29</f>
        <v>0</v>
      </c>
      <c r="DE31" s="239">
        <f>DE14+DE15+DE16+DE17+DE18+DE19+DE20+DE21+DE22+DE23+DE24+DE25+DE26+DE27+DE28+DE29</f>
        <v>0</v>
      </c>
      <c r="DF31" s="239">
        <v>0</v>
      </c>
      <c r="DG31" s="237">
        <f>SUM(DG14:DG29)</f>
        <v>105638.38185999999</v>
      </c>
      <c r="DH31" s="237">
        <f>SUM(DH14:DH29)</f>
        <v>14729.677119999998</v>
      </c>
      <c r="DI31" s="239">
        <f>DH31/DG31*100</f>
        <v>13.943489914036061</v>
      </c>
      <c r="DJ31" s="237">
        <f>SUM(DJ14:DJ29)</f>
        <v>21892.544999999998</v>
      </c>
      <c r="DK31" s="237">
        <f>SUM(DK14:DK29)</f>
        <v>4196.18851</v>
      </c>
      <c r="DL31" s="239">
        <f>DK31/DJ31*100</f>
        <v>19.167202853756841</v>
      </c>
      <c r="DM31" s="236">
        <f>SUM(DM14:DM29)</f>
        <v>21678.708000000002</v>
      </c>
      <c r="DN31" s="237">
        <f>SUM(DN14:DN29)</f>
        <v>4174.6950500000003</v>
      </c>
      <c r="DO31" s="239">
        <f>DN31/DM31*100</f>
        <v>19.257121088581478</v>
      </c>
      <c r="DP31" s="236">
        <f>SUM(DP14:DP29)</f>
        <v>0</v>
      </c>
      <c r="DQ31" s="236">
        <f>SUM(DQ14:DQ29)</f>
        <v>0</v>
      </c>
      <c r="DR31" s="239" t="e">
        <f>DQ31/DP31*100</f>
        <v>#DIV/0!</v>
      </c>
      <c r="DS31" s="254">
        <f>SUM(DS14:DS29)</f>
        <v>110.01</v>
      </c>
      <c r="DT31" s="239">
        <f>SUM(DT14:DT29)</f>
        <v>0</v>
      </c>
      <c r="DU31" s="239">
        <f>DT31/DS31*100</f>
        <v>0</v>
      </c>
      <c r="DV31" s="239">
        <f>SUM(DV14:DV29)</f>
        <v>103.827</v>
      </c>
      <c r="DW31" s="239">
        <f>SUM(DW14:DW29)</f>
        <v>21.493459999999999</v>
      </c>
      <c r="DX31" s="184">
        <f>DW31/DV31*100</f>
        <v>20.701224151713905</v>
      </c>
      <c r="DY31" s="239">
        <f>SUM(DY14:DY29)</f>
        <v>1781.5</v>
      </c>
      <c r="DZ31" s="254">
        <f>SUM(DZ14:DZ29)</f>
        <v>308.41641999999996</v>
      </c>
      <c r="EA31" s="236">
        <f t="shared" si="47"/>
        <v>17.312176255964072</v>
      </c>
      <c r="EB31" s="254">
        <f>SUM(EB14:EB29)</f>
        <v>167.1</v>
      </c>
      <c r="EC31" s="254">
        <f>SUM(EC14:EC29)</f>
        <v>13.551</v>
      </c>
      <c r="ED31" s="184">
        <f t="shared" si="48"/>
        <v>8.1095152603231604</v>
      </c>
      <c r="EE31" s="236">
        <f>SUM(EE14:EE29)</f>
        <v>30842.672469999998</v>
      </c>
      <c r="EF31" s="237">
        <f>SUM(EF14:EF29)</f>
        <v>2836.4252700000002</v>
      </c>
      <c r="EG31" s="239">
        <f>EF31/EE31*100</f>
        <v>9.1964315762809772</v>
      </c>
      <c r="EH31" s="236">
        <f>SUM(EH14:EH29)</f>
        <v>18041.926390000001</v>
      </c>
      <c r="EI31" s="237">
        <f>SUM(EI14:EI29)</f>
        <v>1719.9911100000002</v>
      </c>
      <c r="EJ31" s="239">
        <f>EI31/EH31*100</f>
        <v>9.5333007840744219</v>
      </c>
      <c r="EK31" s="237">
        <f>SUM(EK14:EK29)</f>
        <v>32675.638000000003</v>
      </c>
      <c r="EL31" s="237">
        <f>SUM(EL14:EL29)</f>
        <v>5600.2218099999991</v>
      </c>
      <c r="EM31" s="239">
        <f>EL31/EK31*100</f>
        <v>17.138829270908186</v>
      </c>
      <c r="EN31" s="237">
        <f>SUM(EN14:EN29)</f>
        <v>0</v>
      </c>
      <c r="EO31" s="237">
        <f>SUM(EO14:EO29)</f>
        <v>0</v>
      </c>
      <c r="EP31" s="239" t="e">
        <f>EO31/EN31*100</f>
        <v>#DIV/0!</v>
      </c>
      <c r="EQ31" s="236">
        <f>SUM(EQ14:EQ29)</f>
        <v>237</v>
      </c>
      <c r="ER31" s="236">
        <f>SUM(ER14:ER29)</f>
        <v>54.883000000000003</v>
      </c>
      <c r="ES31" s="239">
        <f>ER31/EQ31*100</f>
        <v>23.157383966244726</v>
      </c>
      <c r="ET31" s="239">
        <f>SUM(ET14:ET29)</f>
        <v>0</v>
      </c>
      <c r="EU31" s="300">
        <f>SUM(EU14:EU29)</f>
        <v>0</v>
      </c>
      <c r="EV31" s="184" t="e">
        <f>EU31/ET31*100</f>
        <v>#DIV/0!</v>
      </c>
      <c r="EW31" s="254">
        <f>SUM(EW14:EW29)</f>
        <v>-5487.3164699999961</v>
      </c>
      <c r="EX31" s="239">
        <f>SUM(EX14:EX29)</f>
        <v>2422.8548800000008</v>
      </c>
      <c r="EY31" s="184">
        <f>EX31/EW31*100</f>
        <v>-44.153729664511268</v>
      </c>
    </row>
    <row r="32" spans="1:170" ht="0.75" customHeight="1">
      <c r="C32" s="207">
        <v>85422.769</v>
      </c>
      <c r="D32" s="208">
        <v>6971.8725999999997</v>
      </c>
      <c r="F32" s="209">
        <v>29714</v>
      </c>
      <c r="G32" s="210">
        <v>2141.1016</v>
      </c>
      <c r="I32" s="210">
        <v>4023</v>
      </c>
      <c r="J32" s="210">
        <v>517.83318999999995</v>
      </c>
      <c r="L32" s="153">
        <v>2648.3</v>
      </c>
      <c r="M32" s="211">
        <v>275.27994000000001</v>
      </c>
      <c r="O32" s="153">
        <v>72.06</v>
      </c>
      <c r="P32" s="212">
        <v>5.5919400000000001</v>
      </c>
      <c r="R32" s="213">
        <v>5285.44</v>
      </c>
      <c r="S32" s="153">
        <v>437.64443</v>
      </c>
      <c r="V32" s="212">
        <v>-57.366509999999998</v>
      </c>
      <c r="X32" s="210">
        <v>450</v>
      </c>
      <c r="Y32" s="210">
        <v>50.572130000000001</v>
      </c>
      <c r="AA32" s="210">
        <v>1552</v>
      </c>
      <c r="AB32" s="210">
        <v>33.929760000000002</v>
      </c>
      <c r="AD32" s="210">
        <v>14314</v>
      </c>
      <c r="AE32" s="214">
        <v>765.26733999999999</v>
      </c>
      <c r="AG32" s="210">
        <v>264</v>
      </c>
      <c r="AH32" s="210">
        <v>28.45</v>
      </c>
      <c r="AJ32" s="210"/>
      <c r="AK32" s="214">
        <v>4.1130100000000001</v>
      </c>
      <c r="AM32" s="210">
        <v>2902</v>
      </c>
      <c r="AN32" s="210"/>
      <c r="AP32" s="153">
        <v>400</v>
      </c>
      <c r="AQ32" s="153">
        <v>102</v>
      </c>
      <c r="AS32" s="215">
        <v>325.2</v>
      </c>
      <c r="AT32" s="215">
        <v>34.62641</v>
      </c>
      <c r="AY32" s="212"/>
      <c r="AZ32" s="212"/>
      <c r="BC32" s="216"/>
      <c r="BE32" s="217">
        <v>380</v>
      </c>
      <c r="BF32" s="210">
        <v>0</v>
      </c>
      <c r="BH32" s="218"/>
      <c r="BI32" s="210"/>
      <c r="BL32" s="217"/>
      <c r="BN32" s="210"/>
      <c r="BO32" s="210">
        <v>20</v>
      </c>
      <c r="BQ32" s="213"/>
      <c r="BR32" s="215">
        <v>13.81555</v>
      </c>
      <c r="BZ32" s="219">
        <v>55708.769</v>
      </c>
      <c r="CA32" s="210">
        <v>4830.7709999999997</v>
      </c>
      <c r="CC32" s="217">
        <v>26193.4</v>
      </c>
      <c r="CD32" s="217">
        <v>4365.5829999999996</v>
      </c>
      <c r="CE32" s="215"/>
      <c r="CF32" s="219">
        <v>2800</v>
      </c>
      <c r="CG32" s="210">
        <v>0</v>
      </c>
      <c r="CH32" s="215"/>
      <c r="CI32" s="210">
        <v>20988.289000000001</v>
      </c>
      <c r="CJ32" s="210">
        <v>226.78800000000001</v>
      </c>
      <c r="CK32" s="215"/>
      <c r="CL32" s="210">
        <v>5727.08</v>
      </c>
      <c r="CM32" s="210">
        <v>238.4</v>
      </c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DA32" s="213"/>
      <c r="DB32" s="213"/>
      <c r="DD32" s="209"/>
      <c r="DE32" s="219">
        <v>0</v>
      </c>
      <c r="DG32" s="219">
        <v>86467.619000000006</v>
      </c>
      <c r="DH32" s="219">
        <v>8044.3139600000004</v>
      </c>
      <c r="DJ32" s="215">
        <v>18659.286</v>
      </c>
      <c r="DK32" s="209">
        <v>1993.6542099999999</v>
      </c>
      <c r="DM32" s="210">
        <v>18579.286</v>
      </c>
      <c r="DN32" s="210">
        <v>1993.6542099999999</v>
      </c>
      <c r="DP32" s="219"/>
      <c r="DQ32" s="217"/>
      <c r="DS32" s="210">
        <v>80</v>
      </c>
      <c r="DT32" s="210"/>
      <c r="DV32" s="210">
        <v>0</v>
      </c>
      <c r="DW32" s="219">
        <v>0</v>
      </c>
      <c r="DY32" s="209">
        <v>1682.5</v>
      </c>
      <c r="DZ32" s="209">
        <v>141.53659999999999</v>
      </c>
      <c r="EB32" s="210">
        <v>191.3</v>
      </c>
      <c r="EC32" s="219">
        <v>8.5</v>
      </c>
      <c r="EE32" s="215">
        <v>29388.388999999999</v>
      </c>
      <c r="EF32" s="209">
        <v>1077.7133699999999</v>
      </c>
      <c r="EH32" s="209">
        <v>15404.812</v>
      </c>
      <c r="EI32" s="209">
        <v>1328.9402500000001</v>
      </c>
      <c r="EK32" s="209">
        <v>24128.7</v>
      </c>
      <c r="EL32" s="209">
        <v>3489.1705299999999</v>
      </c>
      <c r="EN32" s="210">
        <v>0</v>
      </c>
      <c r="EO32" s="210">
        <v>0</v>
      </c>
      <c r="EQ32" s="210">
        <v>112</v>
      </c>
      <c r="ER32" s="220">
        <v>4.8</v>
      </c>
      <c r="ET32" s="210"/>
      <c r="EU32" s="210"/>
      <c r="EW32" s="215"/>
    </row>
    <row r="33" spans="3:155" ht="27" hidden="1" customHeight="1">
      <c r="C33" s="210">
        <f>C32-C31</f>
        <v>-14728.296389999989</v>
      </c>
      <c r="D33" s="210">
        <f t="shared" ref="D33:BO33" si="57">D32-D31</f>
        <v>-10180.659400000004</v>
      </c>
      <c r="E33" s="210"/>
      <c r="F33" s="210">
        <f t="shared" si="57"/>
        <v>-6896.2419999999984</v>
      </c>
      <c r="G33" s="210">
        <f t="shared" si="57"/>
        <v>-3255.012020000001</v>
      </c>
      <c r="H33" s="210"/>
      <c r="I33" s="210">
        <f t="shared" si="57"/>
        <v>-1083.9000000000005</v>
      </c>
      <c r="J33" s="210">
        <f t="shared" si="57"/>
        <v>-600.06648999999982</v>
      </c>
      <c r="K33" s="210"/>
      <c r="L33" s="210">
        <f t="shared" si="57"/>
        <v>-356.90999999999985</v>
      </c>
      <c r="M33" s="210">
        <f t="shared" si="57"/>
        <v>-499.54094999999995</v>
      </c>
      <c r="N33" s="210"/>
      <c r="O33" s="210">
        <f t="shared" si="57"/>
        <v>39.82</v>
      </c>
      <c r="P33" s="210">
        <f t="shared" si="57"/>
        <v>0.36877999999999922</v>
      </c>
      <c r="Q33" s="210"/>
      <c r="R33" s="210">
        <f t="shared" si="57"/>
        <v>266.04999999999927</v>
      </c>
      <c r="S33" s="210">
        <f t="shared" si="57"/>
        <v>-824.47123000000011</v>
      </c>
      <c r="T33" s="210"/>
      <c r="U33" s="210">
        <f t="shared" si="57"/>
        <v>0</v>
      </c>
      <c r="V33" s="210">
        <f t="shared" si="57"/>
        <v>104.08595000000003</v>
      </c>
      <c r="W33" s="210" t="e">
        <f t="shared" si="57"/>
        <v>#DIV/0!</v>
      </c>
      <c r="X33" s="210">
        <f t="shared" si="57"/>
        <v>70</v>
      </c>
      <c r="Y33" s="210">
        <f t="shared" si="57"/>
        <v>-122.71798000000003</v>
      </c>
      <c r="Z33" s="210"/>
      <c r="AA33" s="210">
        <f t="shared" si="57"/>
        <v>-1198</v>
      </c>
      <c r="AB33" s="210">
        <f t="shared" si="57"/>
        <v>-84.570070000000001</v>
      </c>
      <c r="AC33" s="210"/>
      <c r="AD33" s="210">
        <f t="shared" si="57"/>
        <v>-3215.2000000000007</v>
      </c>
      <c r="AE33" s="210">
        <f t="shared" si="57"/>
        <v>-911.09197000000006</v>
      </c>
      <c r="AF33" s="210"/>
      <c r="AG33" s="210">
        <f t="shared" si="57"/>
        <v>133.99799999999999</v>
      </c>
      <c r="AH33" s="210">
        <f t="shared" si="57"/>
        <v>-11.050000000000008</v>
      </c>
      <c r="AI33" s="210"/>
      <c r="AJ33" s="210">
        <f t="shared" si="57"/>
        <v>0</v>
      </c>
      <c r="AK33" s="210">
        <f t="shared" si="57"/>
        <v>4.1130100000000001</v>
      </c>
      <c r="AL33" s="210"/>
      <c r="AM33" s="210">
        <f t="shared" si="57"/>
        <v>2902</v>
      </c>
      <c r="AN33" s="210">
        <f t="shared" si="57"/>
        <v>0</v>
      </c>
      <c r="AO33" s="210" t="e">
        <f t="shared" si="57"/>
        <v>#DIV/0!</v>
      </c>
      <c r="AP33" s="210">
        <f t="shared" si="57"/>
        <v>-1121.3</v>
      </c>
      <c r="AQ33" s="210">
        <f t="shared" si="57"/>
        <v>368.5772</v>
      </c>
      <c r="AR33" s="210"/>
      <c r="AS33" s="210">
        <f t="shared" si="57"/>
        <v>25.199999999999989</v>
      </c>
      <c r="AT33" s="210">
        <f t="shared" si="57"/>
        <v>-36.75929</v>
      </c>
      <c r="AU33" s="210"/>
      <c r="AV33" s="210">
        <f t="shared" si="57"/>
        <v>0</v>
      </c>
      <c r="AW33" s="210">
        <f t="shared" si="57"/>
        <v>0</v>
      </c>
      <c r="AX33" s="210" t="e">
        <f t="shared" si="57"/>
        <v>#DIV/0!</v>
      </c>
      <c r="AY33" s="210">
        <f t="shared" si="57"/>
        <v>-250</v>
      </c>
      <c r="AZ33" s="210">
        <f t="shared" si="57"/>
        <v>-198.59316999999999</v>
      </c>
      <c r="BA33" s="210"/>
      <c r="BB33" s="210">
        <f t="shared" si="57"/>
        <v>0</v>
      </c>
      <c r="BC33" s="210">
        <f t="shared" si="57"/>
        <v>0</v>
      </c>
      <c r="BD33" s="210" t="e">
        <f t="shared" si="57"/>
        <v>#DIV/0!</v>
      </c>
      <c r="BE33" s="210">
        <f t="shared" si="57"/>
        <v>-206</v>
      </c>
      <c r="BF33" s="210">
        <f t="shared" si="57"/>
        <v>-474</v>
      </c>
      <c r="BG33" s="210">
        <f t="shared" si="57"/>
        <v>-80.887372013651884</v>
      </c>
      <c r="BH33" s="210">
        <f t="shared" si="57"/>
        <v>0</v>
      </c>
      <c r="BI33" s="210">
        <f t="shared" si="57"/>
        <v>0</v>
      </c>
      <c r="BJ33" s="210" t="e">
        <f t="shared" si="57"/>
        <v>#DIV/0!</v>
      </c>
      <c r="BK33" s="210">
        <f t="shared" si="57"/>
        <v>0</v>
      </c>
      <c r="BL33" s="210">
        <f t="shared" si="57"/>
        <v>0</v>
      </c>
      <c r="BM33" s="210" t="e">
        <f t="shared" si="57"/>
        <v>#DIV/0!</v>
      </c>
      <c r="BN33" s="210">
        <f t="shared" si="57"/>
        <v>0</v>
      </c>
      <c r="BO33" s="210">
        <f t="shared" si="57"/>
        <v>20</v>
      </c>
      <c r="BP33" s="210"/>
      <c r="BQ33" s="210">
        <f t="shared" ref="BQ33:DZ33" si="58">BQ32-BQ31</f>
        <v>0</v>
      </c>
      <c r="BR33" s="210">
        <f t="shared" si="58"/>
        <v>101.35978</v>
      </c>
      <c r="BS33" s="210"/>
      <c r="BT33" s="210">
        <f t="shared" si="58"/>
        <v>0</v>
      </c>
      <c r="BU33" s="210">
        <f t="shared" si="58"/>
        <v>0</v>
      </c>
      <c r="BV33" s="210" t="e">
        <f t="shared" si="58"/>
        <v>#DIV/0!</v>
      </c>
      <c r="BW33" s="210">
        <f t="shared" si="58"/>
        <v>0</v>
      </c>
      <c r="BX33" s="210">
        <f t="shared" si="58"/>
        <v>0</v>
      </c>
      <c r="BY33" s="210" t="e">
        <f t="shared" si="58"/>
        <v>#DIV/0!</v>
      </c>
      <c r="BZ33" s="210">
        <f t="shared" si="58"/>
        <v>-7832.0543899999902</v>
      </c>
      <c r="CA33" s="210">
        <f t="shared" si="58"/>
        <v>-6925.6473800000012</v>
      </c>
      <c r="CB33" s="210"/>
      <c r="CC33" s="210">
        <f t="shared" si="58"/>
        <v>-2304.0239999999976</v>
      </c>
      <c r="CD33" s="210">
        <f t="shared" si="58"/>
        <v>-5024.4170000000022</v>
      </c>
      <c r="CE33" s="210"/>
      <c r="CF33" s="210">
        <f t="shared" si="58"/>
        <v>-1709.9700000000003</v>
      </c>
      <c r="CG33" s="210">
        <f t="shared" si="58"/>
        <v>-567.5</v>
      </c>
      <c r="CH33" s="210"/>
      <c r="CI33" s="210">
        <f t="shared" si="58"/>
        <v>-5399.8373900000006</v>
      </c>
      <c r="CJ33" s="210">
        <f t="shared" si="58"/>
        <v>226.78800000000001</v>
      </c>
      <c r="CK33" s="210"/>
      <c r="CL33" s="210">
        <f t="shared" si="58"/>
        <v>3891.7799999999997</v>
      </c>
      <c r="CM33" s="210">
        <f t="shared" si="58"/>
        <v>-194.27000000000007</v>
      </c>
      <c r="CN33" s="210"/>
      <c r="CO33" s="210">
        <f t="shared" si="58"/>
        <v>0</v>
      </c>
      <c r="CP33" s="210">
        <f t="shared" si="58"/>
        <v>0</v>
      </c>
      <c r="CQ33" s="210"/>
      <c r="CR33" s="210">
        <f t="shared" si="58"/>
        <v>-2310.0029999999997</v>
      </c>
      <c r="CS33" s="210">
        <f t="shared" si="58"/>
        <v>-1368.41597</v>
      </c>
      <c r="CT33" s="210"/>
      <c r="CU33" s="210">
        <f t="shared" si="58"/>
        <v>0</v>
      </c>
      <c r="CV33" s="210">
        <f t="shared" si="58"/>
        <v>2.1675900000000001</v>
      </c>
      <c r="CW33" s="210" t="e">
        <f t="shared" si="58"/>
        <v>#DIV/0!</v>
      </c>
      <c r="CX33" s="210">
        <f t="shared" si="58"/>
        <v>0</v>
      </c>
      <c r="CY33" s="210">
        <f t="shared" si="58"/>
        <v>0</v>
      </c>
      <c r="CZ33" s="210" t="e">
        <f t="shared" si="58"/>
        <v>#DIV/0!</v>
      </c>
      <c r="DA33" s="210">
        <f t="shared" si="58"/>
        <v>0</v>
      </c>
      <c r="DB33" s="210">
        <f t="shared" si="58"/>
        <v>0</v>
      </c>
      <c r="DC33" s="210" t="e">
        <f t="shared" si="58"/>
        <v>#DIV/0!</v>
      </c>
      <c r="DD33" s="210">
        <f t="shared" si="58"/>
        <v>0</v>
      </c>
      <c r="DE33" s="210">
        <f t="shared" si="58"/>
        <v>0</v>
      </c>
      <c r="DF33" s="210">
        <f t="shared" si="58"/>
        <v>0</v>
      </c>
      <c r="DG33" s="210">
        <f t="shared" si="58"/>
        <v>-19170.762859999988</v>
      </c>
      <c r="DH33" s="210">
        <f t="shared" si="58"/>
        <v>-6685.3631599999981</v>
      </c>
      <c r="DI33" s="210"/>
      <c r="DJ33" s="210">
        <f t="shared" si="58"/>
        <v>-3233.2589999999982</v>
      </c>
      <c r="DK33" s="210">
        <f t="shared" si="58"/>
        <v>-2202.5343000000003</v>
      </c>
      <c r="DL33" s="210"/>
      <c r="DM33" s="210">
        <f t="shared" si="58"/>
        <v>-3099.4220000000023</v>
      </c>
      <c r="DN33" s="210">
        <f t="shared" si="58"/>
        <v>-2181.0408400000006</v>
      </c>
      <c r="DO33" s="210"/>
      <c r="DP33" s="210">
        <f t="shared" si="58"/>
        <v>0</v>
      </c>
      <c r="DQ33" s="210">
        <f t="shared" si="58"/>
        <v>0</v>
      </c>
      <c r="DR33" s="210" t="e">
        <f t="shared" si="58"/>
        <v>#DIV/0!</v>
      </c>
      <c r="DS33" s="210">
        <f t="shared" si="58"/>
        <v>-30.010000000000005</v>
      </c>
      <c r="DT33" s="210">
        <f t="shared" si="58"/>
        <v>0</v>
      </c>
      <c r="DU33" s="210">
        <f t="shared" si="58"/>
        <v>0</v>
      </c>
      <c r="DV33" s="210">
        <f t="shared" si="58"/>
        <v>-103.827</v>
      </c>
      <c r="DW33" s="210">
        <f t="shared" si="58"/>
        <v>-21.493459999999999</v>
      </c>
      <c r="DX33" s="210"/>
      <c r="DY33" s="210">
        <f t="shared" si="58"/>
        <v>-99</v>
      </c>
      <c r="DZ33" s="210">
        <f t="shared" si="58"/>
        <v>-166.87981999999997</v>
      </c>
      <c r="EA33" s="210"/>
      <c r="EB33" s="210">
        <f t="shared" ref="EB33:EX33" si="59">EB32-EB31</f>
        <v>24.200000000000017</v>
      </c>
      <c r="EC33" s="210">
        <f t="shared" si="59"/>
        <v>-5.0510000000000002</v>
      </c>
      <c r="ED33" s="210"/>
      <c r="EE33" s="210">
        <f t="shared" si="59"/>
        <v>-1454.2834699999985</v>
      </c>
      <c r="EF33" s="210">
        <f t="shared" si="59"/>
        <v>-1758.7119000000002</v>
      </c>
      <c r="EG33" s="210"/>
      <c r="EH33" s="210">
        <f t="shared" si="59"/>
        <v>-2637.1143900000006</v>
      </c>
      <c r="EI33" s="210">
        <f t="shared" si="59"/>
        <v>-391.05086000000006</v>
      </c>
      <c r="EJ33" s="210"/>
      <c r="EK33" s="210">
        <f t="shared" si="59"/>
        <v>-8546.9380000000019</v>
      </c>
      <c r="EL33" s="210">
        <f t="shared" si="59"/>
        <v>-2111.0512799999992</v>
      </c>
      <c r="EM33" s="210"/>
      <c r="EN33" s="210">
        <f t="shared" si="59"/>
        <v>0</v>
      </c>
      <c r="EO33" s="210">
        <f t="shared" si="59"/>
        <v>0</v>
      </c>
      <c r="EP33" s="210"/>
      <c r="EQ33" s="210">
        <f t="shared" si="59"/>
        <v>-125</v>
      </c>
      <c r="ER33" s="210">
        <f t="shared" si="59"/>
        <v>-50.083000000000006</v>
      </c>
      <c r="ES33" s="210"/>
      <c r="ET33" s="210">
        <f t="shared" si="59"/>
        <v>0</v>
      </c>
      <c r="EU33" s="210">
        <f t="shared" si="59"/>
        <v>0</v>
      </c>
      <c r="EV33" s="210"/>
      <c r="EW33" s="210">
        <f t="shared" si="59"/>
        <v>5487.3164699999961</v>
      </c>
      <c r="EX33" s="210">
        <f t="shared" si="59"/>
        <v>-2422.8548800000008</v>
      </c>
      <c r="EY33" s="210"/>
    </row>
    <row r="34" spans="3:155" ht="21.75" customHeight="1">
      <c r="C34" s="153">
        <v>100151.06539</v>
      </c>
      <c r="D34" s="224">
        <v>17152.531999999999</v>
      </c>
      <c r="F34" s="153">
        <v>36610.241999999998</v>
      </c>
      <c r="G34" s="153">
        <v>5396.1136200000001</v>
      </c>
      <c r="I34" s="213">
        <v>5106.8999999999996</v>
      </c>
      <c r="J34" s="212">
        <v>1117.89968</v>
      </c>
      <c r="L34" s="153">
        <v>3005.21</v>
      </c>
      <c r="M34" s="153">
        <v>774.82088999999996</v>
      </c>
      <c r="O34" s="153">
        <v>32.24</v>
      </c>
      <c r="P34" s="153">
        <v>5.22316</v>
      </c>
      <c r="R34" s="153">
        <v>5019.3900000000003</v>
      </c>
      <c r="S34" s="153">
        <v>1262.1156599999999</v>
      </c>
      <c r="U34" s="153">
        <v>0</v>
      </c>
      <c r="V34" s="153">
        <v>-161.45246</v>
      </c>
      <c r="X34" s="153">
        <v>380</v>
      </c>
      <c r="Y34" s="210">
        <v>173.29011</v>
      </c>
      <c r="AA34" s="153">
        <v>2750</v>
      </c>
      <c r="AB34" s="153">
        <v>118.49983</v>
      </c>
      <c r="AD34" s="153">
        <v>17529.2</v>
      </c>
      <c r="AE34" s="153">
        <v>1676.3593100000001</v>
      </c>
      <c r="AG34" s="153">
        <v>130.00200000000001</v>
      </c>
      <c r="AH34" s="153">
        <v>39.5</v>
      </c>
      <c r="AK34" s="153">
        <v>0</v>
      </c>
      <c r="AN34" s="210"/>
      <c r="AP34" s="153">
        <v>1521.3</v>
      </c>
      <c r="AQ34" s="153">
        <v>-266.5772</v>
      </c>
      <c r="AS34" s="153">
        <v>300</v>
      </c>
      <c r="AT34" s="153">
        <v>71.3857</v>
      </c>
      <c r="AY34" s="153">
        <v>250</v>
      </c>
      <c r="AZ34" s="153">
        <v>198.59316999999999</v>
      </c>
      <c r="BE34" s="153">
        <v>586</v>
      </c>
      <c r="BF34" s="153">
        <v>474</v>
      </c>
      <c r="BN34" s="153">
        <v>0</v>
      </c>
      <c r="BO34" s="153">
        <v>0</v>
      </c>
      <c r="BR34" s="213">
        <v>-87.544229999999999</v>
      </c>
      <c r="BZ34" s="153">
        <v>63540.823389999998</v>
      </c>
      <c r="CA34" s="153">
        <v>11756.418379999999</v>
      </c>
      <c r="CC34" s="153">
        <v>28497.423999999999</v>
      </c>
      <c r="CD34" s="153">
        <v>9390</v>
      </c>
      <c r="CF34" s="153">
        <v>4509.97</v>
      </c>
      <c r="CG34" s="153">
        <v>567.5</v>
      </c>
      <c r="CI34" s="211">
        <v>26388.126390000001</v>
      </c>
      <c r="CJ34" s="153">
        <v>0</v>
      </c>
      <c r="CL34" s="153">
        <v>1835.3</v>
      </c>
      <c r="CM34" s="153">
        <v>432.67</v>
      </c>
      <c r="CO34" s="153">
        <v>0</v>
      </c>
      <c r="CP34" s="153">
        <v>0</v>
      </c>
      <c r="CR34" s="153">
        <v>2310.0030000000002</v>
      </c>
      <c r="CS34" s="153">
        <v>1368.41597</v>
      </c>
      <c r="CU34" s="153">
        <v>0</v>
      </c>
      <c r="CV34" s="153">
        <v>-2.1675900000000001</v>
      </c>
      <c r="DG34" s="213">
        <v>105638.38185999999</v>
      </c>
      <c r="DH34" s="213">
        <v>14729.67712</v>
      </c>
      <c r="DI34" s="213"/>
      <c r="DJ34" s="213">
        <v>21892.544999999998</v>
      </c>
      <c r="DK34" s="213">
        <v>4196.18851</v>
      </c>
      <c r="DL34" s="213"/>
      <c r="DM34" s="213">
        <v>21678.707999999999</v>
      </c>
      <c r="DN34" s="213">
        <v>4174.6950500000003</v>
      </c>
      <c r="DO34" s="213"/>
      <c r="DP34" s="213">
        <v>0</v>
      </c>
      <c r="DQ34" s="213">
        <v>0</v>
      </c>
      <c r="DR34" s="213"/>
      <c r="DS34" s="213">
        <v>110.01</v>
      </c>
      <c r="DT34" s="213">
        <v>0</v>
      </c>
      <c r="DU34" s="213"/>
      <c r="DV34" s="213">
        <v>103.827</v>
      </c>
      <c r="DW34" s="213">
        <v>21.493459999999999</v>
      </c>
      <c r="DX34" s="213"/>
      <c r="DY34" s="213">
        <v>1781.5</v>
      </c>
      <c r="DZ34" s="213">
        <v>308.41642000000002</v>
      </c>
      <c r="EA34" s="213"/>
      <c r="EB34" s="213">
        <v>167.1</v>
      </c>
      <c r="EC34" s="213">
        <v>13.551</v>
      </c>
      <c r="ED34" s="213"/>
      <c r="EE34" s="213">
        <v>30842.672470000001</v>
      </c>
      <c r="EF34" s="213">
        <v>2836.4252700000002</v>
      </c>
      <c r="EG34" s="213"/>
      <c r="EH34" s="213">
        <v>18041.92683</v>
      </c>
      <c r="EI34" s="213">
        <v>1719.9911099999999</v>
      </c>
      <c r="EJ34" s="213"/>
      <c r="EK34" s="213">
        <v>32675.637999999999</v>
      </c>
      <c r="EL34" s="213">
        <v>5600.22181</v>
      </c>
      <c r="EM34" s="213"/>
      <c r="EN34" s="213">
        <v>0</v>
      </c>
      <c r="EO34" s="213">
        <v>0</v>
      </c>
      <c r="EP34" s="213"/>
      <c r="EQ34" s="213">
        <v>237</v>
      </c>
      <c r="ER34" s="213">
        <v>54.883000000000003</v>
      </c>
      <c r="ES34" s="213"/>
      <c r="ET34" s="213">
        <v>0</v>
      </c>
      <c r="EU34" s="213">
        <v>0</v>
      </c>
      <c r="EV34" s="213"/>
      <c r="EW34" s="153">
        <v>-5487.3164699999998</v>
      </c>
      <c r="EX34" s="153">
        <v>2422.8548799999999</v>
      </c>
    </row>
    <row r="35" spans="3:155" s="221" customFormat="1" ht="27.75" customHeight="1">
      <c r="C35" s="210">
        <f>C34-C31</f>
        <v>0</v>
      </c>
      <c r="D35" s="210">
        <f>D34-D31</f>
        <v>0</v>
      </c>
      <c r="E35" s="210"/>
      <c r="F35" s="210">
        <f t="shared" ref="F35:BO35" si="60">F34-F31</f>
        <v>0</v>
      </c>
      <c r="G35" s="210">
        <f>G34-G31</f>
        <v>0</v>
      </c>
      <c r="H35" s="210"/>
      <c r="I35" s="210">
        <f t="shared" si="60"/>
        <v>0</v>
      </c>
      <c r="J35" s="210">
        <f>J34-J31</f>
        <v>0</v>
      </c>
      <c r="K35" s="210"/>
      <c r="L35" s="210">
        <f t="shared" si="60"/>
        <v>0</v>
      </c>
      <c r="M35" s="210">
        <f t="shared" si="60"/>
        <v>0</v>
      </c>
      <c r="N35" s="210"/>
      <c r="O35" s="210">
        <f t="shared" si="60"/>
        <v>0</v>
      </c>
      <c r="P35" s="210">
        <f t="shared" si="60"/>
        <v>0</v>
      </c>
      <c r="Q35" s="210"/>
      <c r="R35" s="210">
        <f t="shared" si="60"/>
        <v>0</v>
      </c>
      <c r="S35" s="210">
        <f t="shared" si="60"/>
        <v>0</v>
      </c>
      <c r="T35" s="210"/>
      <c r="U35" s="210">
        <f t="shared" si="60"/>
        <v>0</v>
      </c>
      <c r="V35" s="210">
        <f t="shared" si="60"/>
        <v>0</v>
      </c>
      <c r="W35" s="210"/>
      <c r="X35" s="210">
        <f t="shared" si="60"/>
        <v>0</v>
      </c>
      <c r="Y35" s="210">
        <f t="shared" si="60"/>
        <v>0</v>
      </c>
      <c r="Z35" s="210"/>
      <c r="AA35" s="210">
        <f t="shared" si="60"/>
        <v>0</v>
      </c>
      <c r="AB35" s="210">
        <f t="shared" si="60"/>
        <v>0</v>
      </c>
      <c r="AC35" s="210"/>
      <c r="AD35" s="210">
        <f t="shared" si="60"/>
        <v>0</v>
      </c>
      <c r="AE35" s="210">
        <f t="shared" si="60"/>
        <v>0</v>
      </c>
      <c r="AF35" s="210"/>
      <c r="AG35" s="210">
        <f t="shared" si="60"/>
        <v>0</v>
      </c>
      <c r="AH35" s="210">
        <f t="shared" si="60"/>
        <v>0</v>
      </c>
      <c r="AI35" s="210"/>
      <c r="AJ35" s="210">
        <f t="shared" si="60"/>
        <v>0</v>
      </c>
      <c r="AK35" s="210">
        <f t="shared" si="60"/>
        <v>0</v>
      </c>
      <c r="AL35" s="210"/>
      <c r="AM35" s="210">
        <f t="shared" si="60"/>
        <v>0</v>
      </c>
      <c r="AN35" s="210">
        <f t="shared" si="60"/>
        <v>0</v>
      </c>
      <c r="AO35" s="210"/>
      <c r="AP35" s="210">
        <f t="shared" si="60"/>
        <v>0</v>
      </c>
      <c r="AQ35" s="210">
        <f t="shared" si="60"/>
        <v>0</v>
      </c>
      <c r="AR35" s="210"/>
      <c r="AS35" s="210">
        <f t="shared" si="60"/>
        <v>0</v>
      </c>
      <c r="AT35" s="210">
        <f t="shared" si="60"/>
        <v>0</v>
      </c>
      <c r="AU35" s="210"/>
      <c r="AV35" s="210">
        <f t="shared" si="60"/>
        <v>0</v>
      </c>
      <c r="AW35" s="210">
        <f t="shared" si="60"/>
        <v>0</v>
      </c>
      <c r="AX35" s="210" t="e">
        <f t="shared" si="60"/>
        <v>#DIV/0!</v>
      </c>
      <c r="AY35" s="210">
        <f t="shared" si="60"/>
        <v>0</v>
      </c>
      <c r="AZ35" s="210">
        <f t="shared" si="60"/>
        <v>0</v>
      </c>
      <c r="BA35" s="210"/>
      <c r="BB35" s="210">
        <f t="shared" si="60"/>
        <v>0</v>
      </c>
      <c r="BC35" s="210">
        <f t="shared" si="60"/>
        <v>0</v>
      </c>
      <c r="BD35" s="210" t="e">
        <f t="shared" si="60"/>
        <v>#DIV/0!</v>
      </c>
      <c r="BE35" s="210">
        <f>BE34-BE31</f>
        <v>0</v>
      </c>
      <c r="BF35" s="210">
        <f t="shared" si="60"/>
        <v>0</v>
      </c>
      <c r="BG35" s="210"/>
      <c r="BH35" s="210">
        <f t="shared" si="60"/>
        <v>0</v>
      </c>
      <c r="BI35" s="210">
        <f t="shared" si="60"/>
        <v>0</v>
      </c>
      <c r="BJ35" s="210" t="e">
        <f t="shared" si="60"/>
        <v>#DIV/0!</v>
      </c>
      <c r="BK35" s="210">
        <f t="shared" si="60"/>
        <v>0</v>
      </c>
      <c r="BL35" s="210">
        <f t="shared" si="60"/>
        <v>0</v>
      </c>
      <c r="BM35" s="210" t="e">
        <f t="shared" si="60"/>
        <v>#DIV/0!</v>
      </c>
      <c r="BN35" s="210">
        <f t="shared" si="60"/>
        <v>0</v>
      </c>
      <c r="BO35" s="210">
        <f t="shared" si="60"/>
        <v>0</v>
      </c>
      <c r="BP35" s="210"/>
      <c r="BQ35" s="210">
        <f t="shared" ref="BQ35:DZ35" si="61">BQ34-BQ31</f>
        <v>0</v>
      </c>
      <c r="BR35" s="210">
        <f t="shared" si="61"/>
        <v>0</v>
      </c>
      <c r="BS35" s="210"/>
      <c r="BT35" s="210">
        <f t="shared" si="61"/>
        <v>0</v>
      </c>
      <c r="BU35" s="210">
        <f t="shared" si="61"/>
        <v>0</v>
      </c>
      <c r="BV35" s="210" t="e">
        <f t="shared" si="61"/>
        <v>#DIV/0!</v>
      </c>
      <c r="BW35" s="210">
        <f t="shared" si="61"/>
        <v>0</v>
      </c>
      <c r="BX35" s="210">
        <f t="shared" si="61"/>
        <v>0</v>
      </c>
      <c r="BY35" s="210" t="e">
        <f t="shared" si="61"/>
        <v>#DIV/0!</v>
      </c>
      <c r="BZ35" s="210">
        <f t="shared" si="61"/>
        <v>0</v>
      </c>
      <c r="CA35" s="210">
        <f t="shared" si="61"/>
        <v>0</v>
      </c>
      <c r="CB35" s="210"/>
      <c r="CC35" s="210">
        <f t="shared" si="61"/>
        <v>0</v>
      </c>
      <c r="CD35" s="210">
        <f t="shared" si="61"/>
        <v>0</v>
      </c>
      <c r="CE35" s="210"/>
      <c r="CF35" s="210">
        <f t="shared" si="61"/>
        <v>0</v>
      </c>
      <c r="CG35" s="210">
        <f t="shared" si="61"/>
        <v>0</v>
      </c>
      <c r="CH35" s="210"/>
      <c r="CI35" s="210">
        <f t="shared" si="61"/>
        <v>0</v>
      </c>
      <c r="CJ35" s="210">
        <f t="shared" si="61"/>
        <v>0</v>
      </c>
      <c r="CK35" s="210"/>
      <c r="CL35" s="210">
        <f t="shared" si="61"/>
        <v>0</v>
      </c>
      <c r="CM35" s="210">
        <f t="shared" si="61"/>
        <v>0</v>
      </c>
      <c r="CN35" s="210"/>
      <c r="CO35" s="210">
        <f t="shared" si="61"/>
        <v>0</v>
      </c>
      <c r="CP35" s="210">
        <f t="shared" si="61"/>
        <v>0</v>
      </c>
      <c r="CQ35" s="210"/>
      <c r="CR35" s="210">
        <f t="shared" si="61"/>
        <v>0</v>
      </c>
      <c r="CS35" s="210">
        <f t="shared" si="61"/>
        <v>0</v>
      </c>
      <c r="CT35" s="210"/>
      <c r="CU35" s="210">
        <f t="shared" si="61"/>
        <v>0</v>
      </c>
      <c r="CV35" s="210">
        <f>-(CV34-CV31)</f>
        <v>0</v>
      </c>
      <c r="CW35" s="210" t="e">
        <f t="shared" si="61"/>
        <v>#DIV/0!</v>
      </c>
      <c r="CX35" s="210">
        <f t="shared" si="61"/>
        <v>0</v>
      </c>
      <c r="CY35" s="210">
        <f t="shared" si="61"/>
        <v>0</v>
      </c>
      <c r="CZ35" s="210" t="e">
        <f t="shared" si="61"/>
        <v>#DIV/0!</v>
      </c>
      <c r="DA35" s="210">
        <f t="shared" si="61"/>
        <v>0</v>
      </c>
      <c r="DB35" s="210">
        <f t="shared" si="61"/>
        <v>0</v>
      </c>
      <c r="DC35" s="210" t="e">
        <f t="shared" si="61"/>
        <v>#DIV/0!</v>
      </c>
      <c r="DD35" s="210">
        <f t="shared" si="61"/>
        <v>0</v>
      </c>
      <c r="DE35" s="210">
        <f t="shared" si="61"/>
        <v>0</v>
      </c>
      <c r="DF35" s="210"/>
      <c r="DG35" s="210">
        <f t="shared" si="61"/>
        <v>0</v>
      </c>
      <c r="DH35" s="210">
        <f t="shared" si="61"/>
        <v>0</v>
      </c>
      <c r="DI35" s="210"/>
      <c r="DJ35" s="210">
        <f t="shared" si="61"/>
        <v>0</v>
      </c>
      <c r="DK35" s="210">
        <f t="shared" si="61"/>
        <v>0</v>
      </c>
      <c r="DL35" s="210"/>
      <c r="DM35" s="210">
        <f t="shared" si="61"/>
        <v>0</v>
      </c>
      <c r="DN35" s="210">
        <f t="shared" si="61"/>
        <v>0</v>
      </c>
      <c r="DO35" s="210"/>
      <c r="DP35" s="210">
        <f t="shared" si="61"/>
        <v>0</v>
      </c>
      <c r="DQ35" s="210">
        <f t="shared" si="61"/>
        <v>0</v>
      </c>
      <c r="DR35" s="210"/>
      <c r="DS35" s="210">
        <f t="shared" si="61"/>
        <v>0</v>
      </c>
      <c r="DT35" s="210">
        <f t="shared" si="61"/>
        <v>0</v>
      </c>
      <c r="DU35" s="210"/>
      <c r="DV35" s="210">
        <f t="shared" si="61"/>
        <v>0</v>
      </c>
      <c r="DW35" s="210">
        <f t="shared" si="61"/>
        <v>0</v>
      </c>
      <c r="DX35" s="210"/>
      <c r="DY35" s="210">
        <f t="shared" si="61"/>
        <v>0</v>
      </c>
      <c r="DZ35" s="210">
        <f t="shared" si="61"/>
        <v>0</v>
      </c>
      <c r="EA35" s="210"/>
      <c r="EB35" s="210">
        <f t="shared" ref="EB35:EX35" si="62">EB34-EB31</f>
        <v>0</v>
      </c>
      <c r="EC35" s="210">
        <f t="shared" si="62"/>
        <v>0</v>
      </c>
      <c r="ED35" s="210"/>
      <c r="EE35" s="210">
        <f t="shared" si="62"/>
        <v>0</v>
      </c>
      <c r="EF35" s="210">
        <f t="shared" si="62"/>
        <v>0</v>
      </c>
      <c r="EG35" s="210"/>
      <c r="EH35" s="210">
        <f t="shared" si="62"/>
        <v>4.3999999979860149E-4</v>
      </c>
      <c r="EI35" s="210">
        <f t="shared" si="62"/>
        <v>0</v>
      </c>
      <c r="EJ35" s="210"/>
      <c r="EK35" s="210">
        <f t="shared" si="62"/>
        <v>0</v>
      </c>
      <c r="EL35" s="210">
        <f t="shared" si="62"/>
        <v>0</v>
      </c>
      <c r="EM35" s="210"/>
      <c r="EN35" s="210">
        <f t="shared" si="62"/>
        <v>0</v>
      </c>
      <c r="EO35" s="210">
        <f t="shared" si="62"/>
        <v>0</v>
      </c>
      <c r="EP35" s="210"/>
      <c r="EQ35" s="210">
        <f>EQ34-EQ31</f>
        <v>0</v>
      </c>
      <c r="ER35" s="210">
        <f t="shared" si="62"/>
        <v>0</v>
      </c>
      <c r="ES35" s="210"/>
      <c r="ET35" s="210">
        <f t="shared" si="62"/>
        <v>0</v>
      </c>
      <c r="EU35" s="210">
        <f t="shared" si="62"/>
        <v>0</v>
      </c>
      <c r="EV35" s="210"/>
      <c r="EW35" s="210">
        <f t="shared" si="62"/>
        <v>0</v>
      </c>
      <c r="EX35" s="210">
        <f t="shared" si="62"/>
        <v>0</v>
      </c>
    </row>
    <row r="36" spans="3:155"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22"/>
    </row>
  </sheetData>
  <customSheetViews>
    <customSheetView guid="{A54C432C-6C68-4B53-A75C-446EB3A61B2B}" scale="75" showPageBreaks="1" printArea="1" hiddenRows="1" hiddenColumns="1" view="pageBreakPreview" topLeftCell="A10">
      <pane xSplit="2" ySplit="4" topLeftCell="C14" activePane="bottomRight" state="frozen"/>
      <selection pane="bottomRight" activeCell="J24" sqref="J24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5BFCA170-DEAE-4D2C-98A0-1E68B427AC01}" scale="75" showPageBreaks="1" printArea="1" hiddenRows="1" hiddenColumns="1" view="pageBreakPreview" topLeftCell="A10">
      <pane xSplit="2" ySplit="4" topLeftCell="CK14" activePane="bottomRight" state="frozen"/>
      <selection pane="bottomRight" activeCell="CR15" sqref="CR1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42584DC0-1D41-4C93-9B38-C388E7B8DAC4}" scale="75" showPageBreaks="1" printArea="1" hiddenRows="1" hiddenColumns="1" view="pageBreakPreview" topLeftCell="A10">
      <pane xSplit="2" ySplit="4" topLeftCell="CK14" activePane="bottomRight" state="frozen"/>
      <selection pane="bottomRight" activeCell="CR15" sqref="CR1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4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4"/>
  <sheetViews>
    <sheetView view="pageBreakPreview" topLeftCell="A66" zoomScale="67" workbookViewId="0">
      <selection activeCell="A3" sqref="A3"/>
    </sheetView>
  </sheetViews>
  <sheetFormatPr defaultRowHeight="15.75"/>
  <cols>
    <col min="1" max="1" width="16.28515625" style="58" customWidth="1"/>
    <col min="2" max="2" width="57.5703125" style="59" customWidth="1"/>
    <col min="3" max="3" width="23.85546875" style="257" customWidth="1"/>
    <col min="4" max="4" width="24.140625" style="260" customWidth="1"/>
    <col min="5" max="5" width="15" style="62" customWidth="1"/>
    <col min="6" max="6" width="17.5703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437" t="s">
        <v>0</v>
      </c>
      <c r="B1" s="437"/>
      <c r="C1" s="437"/>
      <c r="D1" s="437"/>
      <c r="E1" s="437"/>
      <c r="F1" s="437"/>
    </row>
    <row r="2" spans="1:6">
      <c r="A2" s="437" t="s">
        <v>363</v>
      </c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255" t="s">
        <v>346</v>
      </c>
      <c r="D3" s="258" t="s">
        <v>360</v>
      </c>
      <c r="E3" s="72" t="s">
        <v>3</v>
      </c>
      <c r="F3" s="74" t="s">
        <v>4</v>
      </c>
    </row>
    <row r="4" spans="1:6" s="6" customFormat="1" ht="22.5">
      <c r="A4" s="3"/>
      <c r="B4" s="262" t="s">
        <v>5</v>
      </c>
      <c r="C4" s="306">
        <f>C5+C12+C16+C21+C23+C27+C7</f>
        <v>126324</v>
      </c>
      <c r="D4" s="306">
        <f>D5+D12+D16+D21+D23+D27+D7</f>
        <v>27663.374489999998</v>
      </c>
      <c r="E4" s="306">
        <f>SUM(D4/C4*100)</f>
        <v>21.89874805262658</v>
      </c>
      <c r="F4" s="306">
        <f>SUM(D4-C4)</f>
        <v>-98660.625509999998</v>
      </c>
    </row>
    <row r="5" spans="1:6" s="6" customFormat="1" ht="22.5">
      <c r="A5" s="68">
        <v>1010000000</v>
      </c>
      <c r="B5" s="262" t="s">
        <v>6</v>
      </c>
      <c r="C5" s="306">
        <f>C6</f>
        <v>104690</v>
      </c>
      <c r="D5" s="306">
        <f>D6</f>
        <v>22956.597819999999</v>
      </c>
      <c r="E5" s="306">
        <f t="shared" ref="E5:E81" si="0">SUM(D5/C5*100)</f>
        <v>21.928166797210814</v>
      </c>
      <c r="F5" s="306">
        <f t="shared" ref="F5:F81" si="1">SUM(D5-C5)</f>
        <v>-81733.402180000005</v>
      </c>
    </row>
    <row r="6" spans="1:6" ht="23.25">
      <c r="A6" s="7">
        <v>1010200001</v>
      </c>
      <c r="B6" s="263" t="s">
        <v>229</v>
      </c>
      <c r="C6" s="307">
        <v>104690</v>
      </c>
      <c r="D6" s="308">
        <v>22956.597819999999</v>
      </c>
      <c r="E6" s="307">
        <f>SUM(D6/C6*100)</f>
        <v>21.928166797210814</v>
      </c>
      <c r="F6" s="307">
        <f t="shared" si="1"/>
        <v>-81733.402180000005</v>
      </c>
    </row>
    <row r="7" spans="1:6" ht="37.5">
      <c r="A7" s="68">
        <v>1030000000</v>
      </c>
      <c r="B7" s="264" t="s">
        <v>281</v>
      </c>
      <c r="C7" s="306">
        <f>C8+C10+C9</f>
        <v>4367.8600000000006</v>
      </c>
      <c r="D7" s="306">
        <f>D8+D10+D9+D11</f>
        <v>1019.5885499999999</v>
      </c>
      <c r="E7" s="307">
        <f>SUM(D7/C7*100)</f>
        <v>23.342976881127136</v>
      </c>
      <c r="F7" s="307">
        <f t="shared" si="1"/>
        <v>-3348.2714500000006</v>
      </c>
    </row>
    <row r="8" spans="1:6" ht="23.25">
      <c r="A8" s="7">
        <v>1030223001</v>
      </c>
      <c r="B8" s="263" t="s">
        <v>283</v>
      </c>
      <c r="C8" s="307">
        <v>1410.394</v>
      </c>
      <c r="D8" s="308">
        <v>420.05387999999999</v>
      </c>
      <c r="E8" s="307">
        <f>SUM(D8/C8*100)</f>
        <v>29.782733051898973</v>
      </c>
      <c r="F8" s="307">
        <f>SUM(D8-C8)</f>
        <v>-990.34012000000007</v>
      </c>
    </row>
    <row r="9" spans="1:6" ht="23.25">
      <c r="A9" s="7">
        <v>1030224001</v>
      </c>
      <c r="B9" s="263" t="s">
        <v>289</v>
      </c>
      <c r="C9" s="307">
        <v>25.545999999999999</v>
      </c>
      <c r="D9" s="308">
        <v>2.8316300000000001</v>
      </c>
      <c r="E9" s="307">
        <f>SUM(D9/C9*100)</f>
        <v>11.084435919517734</v>
      </c>
      <c r="F9" s="307">
        <f>SUM(D9-C9)</f>
        <v>-22.714369999999999</v>
      </c>
    </row>
    <row r="10" spans="1:6" ht="23.25">
      <c r="A10" s="7">
        <v>1030225001</v>
      </c>
      <c r="B10" s="263" t="s">
        <v>282</v>
      </c>
      <c r="C10" s="307">
        <v>2931.92</v>
      </c>
      <c r="D10" s="308">
        <v>684.23123999999996</v>
      </c>
      <c r="E10" s="307">
        <f>SUM(D10/C10*100)</f>
        <v>23.337309339954704</v>
      </c>
      <c r="F10" s="307">
        <f t="shared" si="1"/>
        <v>-2247.68876</v>
      </c>
    </row>
    <row r="11" spans="1:6" ht="23.25">
      <c r="A11" s="7">
        <v>1030226001</v>
      </c>
      <c r="B11" s="263" t="s">
        <v>291</v>
      </c>
      <c r="C11" s="307">
        <v>0</v>
      </c>
      <c r="D11" s="308">
        <v>-87.528199999999998</v>
      </c>
      <c r="E11" s="307"/>
      <c r="F11" s="307">
        <f t="shared" si="1"/>
        <v>-87.528199999999998</v>
      </c>
    </row>
    <row r="12" spans="1:6" s="6" customFormat="1" ht="22.5">
      <c r="A12" s="68">
        <v>1050000000</v>
      </c>
      <c r="B12" s="262" t="s">
        <v>7</v>
      </c>
      <c r="C12" s="306">
        <f>SUM(C13:C15)</f>
        <v>12752</v>
      </c>
      <c r="D12" s="306">
        <f>SUM(D13:D15)</f>
        <v>3010.96839</v>
      </c>
      <c r="E12" s="306">
        <f t="shared" si="0"/>
        <v>23.611734551442911</v>
      </c>
      <c r="F12" s="306">
        <f t="shared" si="1"/>
        <v>-9741.03161</v>
      </c>
    </row>
    <row r="13" spans="1:6" ht="23.25">
      <c r="A13" s="7">
        <v>1050200000</v>
      </c>
      <c r="B13" s="265" t="s">
        <v>239</v>
      </c>
      <c r="C13" s="309">
        <v>11515</v>
      </c>
      <c r="D13" s="308">
        <v>2559.9147899999998</v>
      </c>
      <c r="E13" s="307">
        <f t="shared" si="0"/>
        <v>22.231131480677377</v>
      </c>
      <c r="F13" s="307">
        <f t="shared" si="1"/>
        <v>-8955.0852100000011</v>
      </c>
    </row>
    <row r="14" spans="1:6" ht="23.25" customHeight="1">
      <c r="A14" s="7">
        <v>1050300000</v>
      </c>
      <c r="B14" s="265" t="s">
        <v>230</v>
      </c>
      <c r="C14" s="309">
        <v>887</v>
      </c>
      <c r="D14" s="308">
        <v>404.34359999999998</v>
      </c>
      <c r="E14" s="307">
        <f t="shared" si="0"/>
        <v>45.585524239007889</v>
      </c>
      <c r="F14" s="307">
        <f t="shared" si="1"/>
        <v>-482.65640000000002</v>
      </c>
    </row>
    <row r="15" spans="1:6" ht="37.5">
      <c r="A15" s="7">
        <v>1050400002</v>
      </c>
      <c r="B15" s="263" t="s">
        <v>266</v>
      </c>
      <c r="C15" s="309">
        <v>350</v>
      </c>
      <c r="D15" s="308">
        <v>46.71</v>
      </c>
      <c r="E15" s="307">
        <f t="shared" si="0"/>
        <v>13.345714285714285</v>
      </c>
      <c r="F15" s="307">
        <f t="shared" si="1"/>
        <v>-303.29000000000002</v>
      </c>
    </row>
    <row r="16" spans="1:6" s="6" customFormat="1" ht="24" customHeight="1">
      <c r="A16" s="68">
        <v>1060000000</v>
      </c>
      <c r="B16" s="262" t="s">
        <v>136</v>
      </c>
      <c r="C16" s="306">
        <f>SUM(C17:C20)</f>
        <v>1915</v>
      </c>
      <c r="D16" s="306">
        <f>SUM(D17:D20)</f>
        <v>186.96943999999999</v>
      </c>
      <c r="E16" s="306">
        <f t="shared" si="0"/>
        <v>9.7634172323759785</v>
      </c>
      <c r="F16" s="306">
        <f t="shared" si="1"/>
        <v>-1728.0305599999999</v>
      </c>
    </row>
    <row r="17" spans="1:6" s="6" customFormat="1" ht="18" hidden="1" customHeight="1">
      <c r="A17" s="7">
        <v>1060100000</v>
      </c>
      <c r="B17" s="265" t="s">
        <v>9</v>
      </c>
      <c r="C17" s="307"/>
      <c r="D17" s="308"/>
      <c r="E17" s="306" t="e">
        <f t="shared" si="0"/>
        <v>#DIV/0!</v>
      </c>
      <c r="F17" s="306">
        <f t="shared" si="1"/>
        <v>0</v>
      </c>
    </row>
    <row r="18" spans="1:6" s="6" customFormat="1" ht="17.25" hidden="1" customHeight="1">
      <c r="A18" s="7">
        <v>1060200000</v>
      </c>
      <c r="B18" s="265" t="s">
        <v>123</v>
      </c>
      <c r="C18" s="307"/>
      <c r="D18" s="308"/>
      <c r="E18" s="306" t="e">
        <f t="shared" si="0"/>
        <v>#DIV/0!</v>
      </c>
      <c r="F18" s="306">
        <f t="shared" si="1"/>
        <v>0</v>
      </c>
    </row>
    <row r="19" spans="1:6" s="6" customFormat="1" ht="21.75" customHeight="1">
      <c r="A19" s="7">
        <v>1060400000</v>
      </c>
      <c r="B19" s="265" t="s">
        <v>280</v>
      </c>
      <c r="C19" s="307">
        <v>1915</v>
      </c>
      <c r="D19" s="308">
        <v>186.96943999999999</v>
      </c>
      <c r="E19" s="307">
        <f t="shared" si="0"/>
        <v>9.7634172323759785</v>
      </c>
      <c r="F19" s="307">
        <f t="shared" si="1"/>
        <v>-1728.0305599999999</v>
      </c>
    </row>
    <row r="20" spans="1:6" ht="15.75" hidden="1" customHeight="1">
      <c r="A20" s="7">
        <v>1060600000</v>
      </c>
      <c r="B20" s="265" t="s">
        <v>8</v>
      </c>
      <c r="C20" s="307"/>
      <c r="D20" s="308"/>
      <c r="E20" s="307" t="e">
        <f t="shared" si="0"/>
        <v>#DIV/0!</v>
      </c>
      <c r="F20" s="307">
        <f t="shared" si="1"/>
        <v>0</v>
      </c>
    </row>
    <row r="21" spans="1:6" s="6" customFormat="1" ht="42" customHeight="1">
      <c r="A21" s="68">
        <v>1070000000</v>
      </c>
      <c r="B21" s="264" t="s">
        <v>10</v>
      </c>
      <c r="C21" s="306">
        <f>SUM(C22)</f>
        <v>399.14</v>
      </c>
      <c r="D21" s="306">
        <f>SUM(D22)</f>
        <v>9.9229999999999999E-2</v>
      </c>
      <c r="E21" s="306">
        <f t="shared" si="0"/>
        <v>2.4860951044746202E-2</v>
      </c>
      <c r="F21" s="306">
        <f t="shared" si="1"/>
        <v>-399.04077000000001</v>
      </c>
    </row>
    <row r="22" spans="1:6" ht="41.25" customHeight="1">
      <c r="A22" s="7">
        <v>1070102001</v>
      </c>
      <c r="B22" s="263" t="s">
        <v>240</v>
      </c>
      <c r="C22" s="307">
        <v>399.14</v>
      </c>
      <c r="D22" s="308">
        <v>9.9229999999999999E-2</v>
      </c>
      <c r="E22" s="307">
        <f t="shared" si="0"/>
        <v>2.4860951044746202E-2</v>
      </c>
      <c r="F22" s="307">
        <f t="shared" si="1"/>
        <v>-399.04077000000001</v>
      </c>
    </row>
    <row r="23" spans="1:6" s="6" customFormat="1" ht="22.5">
      <c r="A23" s="3">
        <v>1080000000</v>
      </c>
      <c r="B23" s="262" t="s">
        <v>11</v>
      </c>
      <c r="C23" s="306">
        <f>C24+C25+C26</f>
        <v>2200</v>
      </c>
      <c r="D23" s="306">
        <f>D24+D25+D26</f>
        <v>489.15106000000003</v>
      </c>
      <c r="E23" s="306">
        <f t="shared" si="0"/>
        <v>22.234139090909093</v>
      </c>
      <c r="F23" s="306">
        <f t="shared" si="1"/>
        <v>-1710.8489399999999</v>
      </c>
    </row>
    <row r="24" spans="1:6" ht="42.75" customHeight="1">
      <c r="A24" s="7">
        <v>1080300001</v>
      </c>
      <c r="B24" s="263" t="s">
        <v>241</v>
      </c>
      <c r="C24" s="307">
        <v>1600</v>
      </c>
      <c r="D24" s="308">
        <v>349.94355999999999</v>
      </c>
      <c r="E24" s="307">
        <f t="shared" si="0"/>
        <v>21.871472499999999</v>
      </c>
      <c r="F24" s="307">
        <f t="shared" si="1"/>
        <v>-1250.0564400000001</v>
      </c>
    </row>
    <row r="25" spans="1:6" ht="33.75" customHeight="1">
      <c r="A25" s="7">
        <v>1080600001</v>
      </c>
      <c r="B25" s="263" t="s">
        <v>228</v>
      </c>
      <c r="C25" s="307">
        <v>0</v>
      </c>
      <c r="D25" s="308">
        <v>0</v>
      </c>
      <c r="E25" s="307" t="e">
        <f>SUM(D25/C25*100)</f>
        <v>#DIV/0!</v>
      </c>
      <c r="F25" s="307">
        <f t="shared" si="1"/>
        <v>0</v>
      </c>
    </row>
    <row r="26" spans="1:6" ht="75">
      <c r="A26" s="7">
        <v>1080714001</v>
      </c>
      <c r="B26" s="263" t="s">
        <v>227</v>
      </c>
      <c r="C26" s="307">
        <v>600</v>
      </c>
      <c r="D26" s="308">
        <v>139.20750000000001</v>
      </c>
      <c r="E26" s="307">
        <f t="shared" si="0"/>
        <v>23.201250000000002</v>
      </c>
      <c r="F26" s="307">
        <f t="shared" si="1"/>
        <v>-460.79250000000002</v>
      </c>
    </row>
    <row r="27" spans="1:6" s="15" customFormat="1" ht="44.25" customHeight="1">
      <c r="A27" s="68">
        <v>1090000000</v>
      </c>
      <c r="B27" s="264" t="s">
        <v>231</v>
      </c>
      <c r="C27" s="306">
        <f>C28+C29+C30+C31</f>
        <v>0</v>
      </c>
      <c r="D27" s="306">
        <f>D28+D29+D30+D31</f>
        <v>0</v>
      </c>
      <c r="E27" s="307" t="e">
        <f t="shared" si="0"/>
        <v>#DIV/0!</v>
      </c>
      <c r="F27" s="306">
        <f t="shared" si="1"/>
        <v>0</v>
      </c>
    </row>
    <row r="28" spans="1:6" s="15" customFormat="1" ht="17.25" hidden="1" customHeight="1">
      <c r="A28" s="7">
        <v>1090100000</v>
      </c>
      <c r="B28" s="263" t="s">
        <v>125</v>
      </c>
      <c r="C28" s="307">
        <v>0</v>
      </c>
      <c r="D28" s="308">
        <v>0</v>
      </c>
      <c r="E28" s="307" t="e">
        <f t="shared" si="0"/>
        <v>#DIV/0!</v>
      </c>
      <c r="F28" s="307">
        <f t="shared" si="1"/>
        <v>0</v>
      </c>
    </row>
    <row r="29" spans="1:6" s="15" customFormat="1" ht="17.25" hidden="1" customHeight="1">
      <c r="A29" s="7">
        <v>1090400000</v>
      </c>
      <c r="B29" s="263" t="s">
        <v>126</v>
      </c>
      <c r="C29" s="307">
        <v>0</v>
      </c>
      <c r="D29" s="308">
        <v>0</v>
      </c>
      <c r="E29" s="307" t="e">
        <f t="shared" si="0"/>
        <v>#DIV/0!</v>
      </c>
      <c r="F29" s="307">
        <f t="shared" si="1"/>
        <v>0</v>
      </c>
    </row>
    <row r="30" spans="1:6" s="15" customFormat="1" ht="15.75" hidden="1" customHeight="1">
      <c r="A30" s="7">
        <v>1090600000</v>
      </c>
      <c r="B30" s="263" t="s">
        <v>127</v>
      </c>
      <c r="C30" s="307">
        <v>0</v>
      </c>
      <c r="D30" s="308">
        <v>0</v>
      </c>
      <c r="E30" s="307" t="e">
        <f t="shared" si="0"/>
        <v>#DIV/0!</v>
      </c>
      <c r="F30" s="307">
        <f t="shared" si="1"/>
        <v>0</v>
      </c>
    </row>
    <row r="31" spans="1:6" s="15" customFormat="1" ht="42" customHeight="1">
      <c r="A31" s="7">
        <v>1090700000</v>
      </c>
      <c r="B31" s="263" t="s">
        <v>128</v>
      </c>
      <c r="C31" s="307">
        <v>0</v>
      </c>
      <c r="D31" s="308">
        <v>0</v>
      </c>
      <c r="E31" s="307" t="e">
        <f t="shared" si="0"/>
        <v>#DIV/0!</v>
      </c>
      <c r="F31" s="307">
        <f t="shared" si="1"/>
        <v>0</v>
      </c>
    </row>
    <row r="32" spans="1:6" s="6" customFormat="1" ht="33.75" customHeight="1">
      <c r="A32" s="3"/>
      <c r="B32" s="262" t="s">
        <v>13</v>
      </c>
      <c r="C32" s="306">
        <f>C33+C41+C43+C46+C49+C51+C68</f>
        <v>22011</v>
      </c>
      <c r="D32" s="306">
        <f>D33+D41+D43+D46+D49+D51+D68</f>
        <v>7896.7435300000006</v>
      </c>
      <c r="E32" s="306">
        <f t="shared" si="0"/>
        <v>35.876350597428562</v>
      </c>
      <c r="F32" s="306">
        <f t="shared" si="1"/>
        <v>-14114.25647</v>
      </c>
    </row>
    <row r="33" spans="1:6" s="6" customFormat="1" ht="60.75" customHeight="1">
      <c r="A33" s="3">
        <v>1110000000</v>
      </c>
      <c r="B33" s="264" t="s">
        <v>129</v>
      </c>
      <c r="C33" s="306">
        <f>C35+C36+C37+C39+C38+C34+C40</f>
        <v>8600</v>
      </c>
      <c r="D33" s="306">
        <f>D35+D36+D37+D39+D38+D34+D40</f>
        <v>2172.1264100000003</v>
      </c>
      <c r="E33" s="306">
        <f t="shared" si="0"/>
        <v>25.257283837209304</v>
      </c>
      <c r="F33" s="306">
        <f t="shared" si="1"/>
        <v>-6427.8735899999992</v>
      </c>
    </row>
    <row r="34" spans="1:6" s="6" customFormat="1" ht="33" customHeight="1">
      <c r="A34" s="7">
        <v>1110105005</v>
      </c>
      <c r="B34" s="263" t="s">
        <v>320</v>
      </c>
      <c r="C34" s="307">
        <v>10</v>
      </c>
      <c r="D34" s="307">
        <v>23.646000000000001</v>
      </c>
      <c r="E34" s="307">
        <f t="shared" si="0"/>
        <v>236.46000000000004</v>
      </c>
      <c r="F34" s="307">
        <f t="shared" si="1"/>
        <v>13.646000000000001</v>
      </c>
    </row>
    <row r="35" spans="1:6" ht="20.25" customHeight="1">
      <c r="A35" s="7">
        <v>1110305005</v>
      </c>
      <c r="B35" s="265" t="s">
        <v>242</v>
      </c>
      <c r="C35" s="307">
        <v>0</v>
      </c>
      <c r="D35" s="308">
        <v>0</v>
      </c>
      <c r="E35" s="307" t="e">
        <f t="shared" si="0"/>
        <v>#DIV/0!</v>
      </c>
      <c r="F35" s="307">
        <f t="shared" si="1"/>
        <v>0</v>
      </c>
    </row>
    <row r="36" spans="1:6" ht="23.25">
      <c r="A36" s="16">
        <v>1110501101</v>
      </c>
      <c r="B36" s="266" t="s">
        <v>226</v>
      </c>
      <c r="C36" s="309">
        <v>7800</v>
      </c>
      <c r="D36" s="308">
        <v>1964.85635</v>
      </c>
      <c r="E36" s="307">
        <f t="shared" si="0"/>
        <v>25.19046602564103</v>
      </c>
      <c r="F36" s="307">
        <f t="shared" si="1"/>
        <v>-5835.14365</v>
      </c>
    </row>
    <row r="37" spans="1:6" ht="23.25">
      <c r="A37" s="7">
        <v>1110503505</v>
      </c>
      <c r="B37" s="265" t="s">
        <v>225</v>
      </c>
      <c r="C37" s="309">
        <v>400</v>
      </c>
      <c r="D37" s="308">
        <v>79.784379999999999</v>
      </c>
      <c r="E37" s="307">
        <f t="shared" si="0"/>
        <v>19.946095</v>
      </c>
      <c r="F37" s="307">
        <f t="shared" si="1"/>
        <v>-320.21562</v>
      </c>
    </row>
    <row r="38" spans="1:6" ht="97.5" customHeight="1">
      <c r="A38" s="7">
        <v>1110502000</v>
      </c>
      <c r="B38" s="263" t="s">
        <v>277</v>
      </c>
      <c r="C38" s="310">
        <v>0</v>
      </c>
      <c r="D38" s="308">
        <v>0</v>
      </c>
      <c r="E38" s="307" t="e">
        <f t="shared" si="0"/>
        <v>#DIV/0!</v>
      </c>
      <c r="F38" s="307">
        <f t="shared" si="1"/>
        <v>0</v>
      </c>
    </row>
    <row r="39" spans="1:6" s="15" customFormat="1" ht="23.25">
      <c r="A39" s="7">
        <v>1110701505</v>
      </c>
      <c r="B39" s="265" t="s">
        <v>243</v>
      </c>
      <c r="C39" s="309">
        <v>20</v>
      </c>
      <c r="D39" s="308">
        <v>0</v>
      </c>
      <c r="E39" s="307">
        <f t="shared" si="0"/>
        <v>0</v>
      </c>
      <c r="F39" s="307">
        <f t="shared" si="1"/>
        <v>-20</v>
      </c>
    </row>
    <row r="40" spans="1:6" s="15" customFormat="1" ht="23.25">
      <c r="A40" s="7">
        <v>1110904505</v>
      </c>
      <c r="B40" s="265" t="s">
        <v>334</v>
      </c>
      <c r="C40" s="309">
        <v>370</v>
      </c>
      <c r="D40" s="308">
        <v>103.83968</v>
      </c>
      <c r="E40" s="307">
        <f t="shared" si="0"/>
        <v>28.064778378378382</v>
      </c>
      <c r="F40" s="307">
        <f t="shared" si="1"/>
        <v>-266.16032000000001</v>
      </c>
    </row>
    <row r="41" spans="1:6" s="15" customFormat="1" ht="37.5">
      <c r="A41" s="68">
        <v>1120000000</v>
      </c>
      <c r="B41" s="264" t="s">
        <v>130</v>
      </c>
      <c r="C41" s="311">
        <f>C42</f>
        <v>490</v>
      </c>
      <c r="D41" s="311">
        <f>D42</f>
        <v>407.39963999999998</v>
      </c>
      <c r="E41" s="306">
        <f t="shared" si="0"/>
        <v>83.142783673469381</v>
      </c>
      <c r="F41" s="306">
        <f t="shared" si="1"/>
        <v>-82.600360000000023</v>
      </c>
    </row>
    <row r="42" spans="1:6" s="15" customFormat="1" ht="35.25" customHeight="1">
      <c r="A42" s="7">
        <v>1120100001</v>
      </c>
      <c r="B42" s="263" t="s">
        <v>244</v>
      </c>
      <c r="C42" s="307">
        <v>490</v>
      </c>
      <c r="D42" s="308">
        <v>407.39963999999998</v>
      </c>
      <c r="E42" s="307">
        <f t="shared" si="0"/>
        <v>83.142783673469381</v>
      </c>
      <c r="F42" s="307">
        <f t="shared" si="1"/>
        <v>-82.600360000000023</v>
      </c>
    </row>
    <row r="43" spans="1:6" s="261" customFormat="1" ht="17.25" customHeight="1">
      <c r="A43" s="349">
        <v>1130000000</v>
      </c>
      <c r="B43" s="267" t="s">
        <v>131</v>
      </c>
      <c r="C43" s="306">
        <f>C44+C45</f>
        <v>459</v>
      </c>
      <c r="D43" s="306">
        <f>D44+D45</f>
        <v>50.201279999999997</v>
      </c>
      <c r="E43" s="306">
        <f t="shared" si="0"/>
        <v>10.937098039215686</v>
      </c>
      <c r="F43" s="306">
        <f t="shared" si="1"/>
        <v>-408.79872</v>
      </c>
    </row>
    <row r="44" spans="1:6" s="15" customFormat="1" ht="18" customHeight="1">
      <c r="A44" s="7">
        <v>1130200000</v>
      </c>
      <c r="B44" s="263" t="s">
        <v>330</v>
      </c>
      <c r="C44" s="307">
        <v>459</v>
      </c>
      <c r="D44" s="307">
        <v>50.201279999999997</v>
      </c>
      <c r="E44" s="307">
        <f>SUM(D44/C44*100)</f>
        <v>10.937098039215686</v>
      </c>
      <c r="F44" s="307">
        <f>SUM(D44-C44)</f>
        <v>-408.79872</v>
      </c>
    </row>
    <row r="45" spans="1:6" ht="19.5" customHeight="1">
      <c r="A45" s="7">
        <v>1130305005</v>
      </c>
      <c r="B45" s="263" t="s">
        <v>224</v>
      </c>
      <c r="C45" s="307">
        <v>0</v>
      </c>
      <c r="D45" s="308">
        <v>0</v>
      </c>
      <c r="E45" s="307"/>
      <c r="F45" s="307">
        <f t="shared" si="1"/>
        <v>0</v>
      </c>
    </row>
    <row r="46" spans="1:6" ht="18" customHeight="1">
      <c r="A46" s="109">
        <v>1140000000</v>
      </c>
      <c r="B46" s="268" t="s">
        <v>132</v>
      </c>
      <c r="C46" s="306">
        <f>C47+C48</f>
        <v>3500</v>
      </c>
      <c r="D46" s="306">
        <f>D47+D48</f>
        <v>341.35610000000003</v>
      </c>
      <c r="E46" s="306">
        <f t="shared" si="0"/>
        <v>9.753031428571429</v>
      </c>
      <c r="F46" s="306">
        <f t="shared" si="1"/>
        <v>-3158.6439</v>
      </c>
    </row>
    <row r="47" spans="1:6" ht="23.25">
      <c r="A47" s="16">
        <v>1140200000</v>
      </c>
      <c r="B47" s="269" t="s">
        <v>222</v>
      </c>
      <c r="C47" s="307">
        <v>500</v>
      </c>
      <c r="D47" s="308">
        <v>9</v>
      </c>
      <c r="E47" s="307">
        <f t="shared" si="0"/>
        <v>1.7999999999999998</v>
      </c>
      <c r="F47" s="307">
        <f t="shared" si="1"/>
        <v>-491</v>
      </c>
    </row>
    <row r="48" spans="1:6" ht="20.25" customHeight="1">
      <c r="A48" s="7">
        <v>1140600000</v>
      </c>
      <c r="B48" s="263" t="s">
        <v>223</v>
      </c>
      <c r="C48" s="307">
        <v>3000</v>
      </c>
      <c r="D48" s="308">
        <v>332.35610000000003</v>
      </c>
      <c r="E48" s="307">
        <f t="shared" si="0"/>
        <v>11.078536666666668</v>
      </c>
      <c r="F48" s="307">
        <f t="shared" si="1"/>
        <v>-2667.6439</v>
      </c>
    </row>
    <row r="49" spans="1:8" ht="37.5" hidden="1">
      <c r="A49" s="3">
        <v>1150000000</v>
      </c>
      <c r="B49" s="264" t="s">
        <v>235</v>
      </c>
      <c r="C49" s="306">
        <f>C50</f>
        <v>0</v>
      </c>
      <c r="D49" s="306">
        <f>D50</f>
        <v>0</v>
      </c>
      <c r="E49" s="306" t="e">
        <f t="shared" si="0"/>
        <v>#DIV/0!</v>
      </c>
      <c r="F49" s="306">
        <f t="shared" si="1"/>
        <v>0</v>
      </c>
    </row>
    <row r="50" spans="1:8" ht="56.25" hidden="1">
      <c r="A50" s="7">
        <v>1150205005</v>
      </c>
      <c r="B50" s="263" t="s">
        <v>236</v>
      </c>
      <c r="C50" s="307">
        <v>0</v>
      </c>
      <c r="D50" s="308">
        <v>0</v>
      </c>
      <c r="E50" s="307" t="e">
        <f t="shared" si="0"/>
        <v>#DIV/0!</v>
      </c>
      <c r="F50" s="307">
        <f t="shared" si="1"/>
        <v>0</v>
      </c>
    </row>
    <row r="51" spans="1:8" ht="37.5">
      <c r="A51" s="3">
        <v>1160000000</v>
      </c>
      <c r="B51" s="264" t="s">
        <v>134</v>
      </c>
      <c r="C51" s="306">
        <f>C52+C53+C54+C55+C56+C57+C58+C59+C60+C61+C62+C63+C64+C65+C66+C67</f>
        <v>8962</v>
      </c>
      <c r="D51" s="306">
        <f>D52+D53+D54+D55+D56+D57+D58+D59+D60+D61+D62+D63+D64+D65+D66+D67</f>
        <v>4925.6601000000001</v>
      </c>
      <c r="E51" s="306">
        <f>SUM(D51/C51*100)</f>
        <v>54.961616826601201</v>
      </c>
      <c r="F51" s="306">
        <f t="shared" si="1"/>
        <v>-4036.3398999999999</v>
      </c>
      <c r="H51" s="152"/>
    </row>
    <row r="52" spans="1:8" ht="23.25">
      <c r="A52" s="7">
        <v>1160301001</v>
      </c>
      <c r="B52" s="263" t="s">
        <v>245</v>
      </c>
      <c r="C52" s="307">
        <v>12</v>
      </c>
      <c r="D52" s="312">
        <v>-2.5000000000000001E-2</v>
      </c>
      <c r="E52" s="307">
        <f>SUM(D52/C52*100)</f>
        <v>-0.20833333333333334</v>
      </c>
      <c r="F52" s="307">
        <f t="shared" si="1"/>
        <v>-12.025</v>
      </c>
    </row>
    <row r="53" spans="1:8" ht="17.25" customHeight="1">
      <c r="A53" s="7">
        <v>1160303001</v>
      </c>
      <c r="B53" s="263" t="s">
        <v>246</v>
      </c>
      <c r="C53" s="307">
        <v>8</v>
      </c>
      <c r="D53" s="313">
        <v>1.8</v>
      </c>
      <c r="E53" s="307">
        <f t="shared" si="0"/>
        <v>22.5</v>
      </c>
      <c r="F53" s="307">
        <f t="shared" si="1"/>
        <v>-6.2</v>
      </c>
    </row>
    <row r="54" spans="1:8" ht="19.5" customHeight="1">
      <c r="A54" s="7">
        <v>1160600000</v>
      </c>
      <c r="B54" s="263" t="s">
        <v>247</v>
      </c>
      <c r="C54" s="307">
        <v>82</v>
      </c>
      <c r="D54" s="313">
        <v>0</v>
      </c>
      <c r="E54" s="307">
        <f t="shared" si="0"/>
        <v>0</v>
      </c>
      <c r="F54" s="307">
        <f t="shared" si="1"/>
        <v>-82</v>
      </c>
    </row>
    <row r="55" spans="1:8" s="15" customFormat="1" ht="16.5" customHeight="1">
      <c r="A55" s="7">
        <v>1160800001</v>
      </c>
      <c r="B55" s="263" t="s">
        <v>248</v>
      </c>
      <c r="C55" s="307">
        <v>255</v>
      </c>
      <c r="D55" s="313">
        <v>0</v>
      </c>
      <c r="E55" s="307">
        <f t="shared" si="0"/>
        <v>0</v>
      </c>
      <c r="F55" s="307">
        <f t="shared" si="1"/>
        <v>-255</v>
      </c>
    </row>
    <row r="56" spans="1:8" ht="35.25" customHeight="1">
      <c r="A56" s="7">
        <v>1161805005</v>
      </c>
      <c r="B56" s="263" t="s">
        <v>342</v>
      </c>
      <c r="C56" s="307">
        <v>0</v>
      </c>
      <c r="D56" s="308">
        <v>0</v>
      </c>
      <c r="E56" s="307" t="e">
        <f t="shared" si="0"/>
        <v>#DIV/0!</v>
      </c>
      <c r="F56" s="307">
        <f t="shared" si="1"/>
        <v>0</v>
      </c>
    </row>
    <row r="57" spans="1:8" ht="18" customHeight="1">
      <c r="A57" s="7">
        <v>1162105005</v>
      </c>
      <c r="B57" s="263" t="s">
        <v>16</v>
      </c>
      <c r="C57" s="307">
        <v>245</v>
      </c>
      <c r="D57" s="308">
        <v>0</v>
      </c>
      <c r="E57" s="307">
        <f t="shared" si="0"/>
        <v>0</v>
      </c>
      <c r="F57" s="307">
        <f t="shared" si="1"/>
        <v>-245</v>
      </c>
    </row>
    <row r="58" spans="1:8" ht="15.75" customHeight="1">
      <c r="A58" s="16">
        <v>1162503001</v>
      </c>
      <c r="B58" s="269" t="s">
        <v>333</v>
      </c>
      <c r="C58" s="307">
        <v>140</v>
      </c>
      <c r="D58" s="308">
        <v>0</v>
      </c>
      <c r="E58" s="307">
        <f t="shared" si="0"/>
        <v>0</v>
      </c>
      <c r="F58" s="307">
        <f t="shared" si="1"/>
        <v>-140</v>
      </c>
    </row>
    <row r="59" spans="1:8" ht="15.75" customHeight="1">
      <c r="A59" s="16">
        <v>1162505001</v>
      </c>
      <c r="B59" s="269" t="s">
        <v>345</v>
      </c>
      <c r="C59" s="307">
        <v>0</v>
      </c>
      <c r="D59" s="308">
        <v>10</v>
      </c>
      <c r="E59" s="307" t="e">
        <f t="shared" si="0"/>
        <v>#DIV/0!</v>
      </c>
      <c r="F59" s="307">
        <f t="shared" si="1"/>
        <v>10</v>
      </c>
    </row>
    <row r="60" spans="1:8" ht="15.75" customHeight="1">
      <c r="A60" s="16">
        <v>1162506001</v>
      </c>
      <c r="B60" s="269" t="s">
        <v>269</v>
      </c>
      <c r="C60" s="307">
        <v>445</v>
      </c>
      <c r="D60" s="308">
        <v>35</v>
      </c>
      <c r="E60" s="307">
        <f t="shared" si="0"/>
        <v>7.8651685393258424</v>
      </c>
      <c r="F60" s="307">
        <f t="shared" si="1"/>
        <v>-410</v>
      </c>
    </row>
    <row r="61" spans="1:8" ht="15.75" customHeight="1">
      <c r="A61" s="7">
        <v>1162700001</v>
      </c>
      <c r="B61" s="263" t="s">
        <v>249</v>
      </c>
      <c r="C61" s="307">
        <v>0</v>
      </c>
      <c r="D61" s="308">
        <v>0</v>
      </c>
      <c r="E61" s="307" t="e">
        <f t="shared" si="0"/>
        <v>#DIV/0!</v>
      </c>
      <c r="F61" s="307">
        <f t="shared" si="1"/>
        <v>0</v>
      </c>
    </row>
    <row r="62" spans="1:8" ht="37.5" customHeight="1">
      <c r="A62" s="7">
        <v>1162800001</v>
      </c>
      <c r="B62" s="263" t="s">
        <v>238</v>
      </c>
      <c r="C62" s="307">
        <v>370</v>
      </c>
      <c r="D62" s="308">
        <v>52.310850000000002</v>
      </c>
      <c r="E62" s="307">
        <f>SUM(D62/C62*100)</f>
        <v>14.138067567567569</v>
      </c>
      <c r="F62" s="307">
        <f>SUM(D62-C62)</f>
        <v>-317.68914999999998</v>
      </c>
    </row>
    <row r="63" spans="1:8" ht="36" customHeight="1">
      <c r="A63" s="7">
        <v>1163003001</v>
      </c>
      <c r="B63" s="263" t="s">
        <v>270</v>
      </c>
      <c r="C63" s="307">
        <v>25</v>
      </c>
      <c r="D63" s="308">
        <v>2.5</v>
      </c>
      <c r="E63" s="307">
        <f>SUM(D63/C63*100)</f>
        <v>10</v>
      </c>
      <c r="F63" s="307">
        <f>SUM(D63-C63)</f>
        <v>-22.5</v>
      </c>
    </row>
    <row r="64" spans="1:8" ht="56.25">
      <c r="A64" s="7">
        <v>1164300001</v>
      </c>
      <c r="B64" s="270" t="s">
        <v>262</v>
      </c>
      <c r="C64" s="307">
        <v>300</v>
      </c>
      <c r="D64" s="308">
        <v>111.33432999999999</v>
      </c>
      <c r="E64" s="307">
        <f t="shared" si="0"/>
        <v>37.111443333333334</v>
      </c>
      <c r="F64" s="307">
        <f t="shared" si="1"/>
        <v>-188.66567000000001</v>
      </c>
    </row>
    <row r="65" spans="1:8" ht="75">
      <c r="A65" s="7">
        <v>1163305005</v>
      </c>
      <c r="B65" s="263" t="s">
        <v>17</v>
      </c>
      <c r="C65" s="307">
        <v>4835</v>
      </c>
      <c r="D65" s="308">
        <v>3907.9099000000001</v>
      </c>
      <c r="E65" s="307">
        <f t="shared" si="0"/>
        <v>80.825437435367121</v>
      </c>
      <c r="F65" s="307">
        <f t="shared" si="1"/>
        <v>-927.09009999999989</v>
      </c>
    </row>
    <row r="66" spans="1:8" ht="23.25">
      <c r="A66" s="7">
        <v>1163500000</v>
      </c>
      <c r="B66" s="263" t="s">
        <v>331</v>
      </c>
      <c r="C66" s="307">
        <v>0</v>
      </c>
      <c r="D66" s="308">
        <v>0</v>
      </c>
      <c r="E66" s="307" t="e">
        <f t="shared" si="0"/>
        <v>#DIV/0!</v>
      </c>
      <c r="F66" s="307">
        <f t="shared" si="1"/>
        <v>0</v>
      </c>
    </row>
    <row r="67" spans="1:8" ht="37.5">
      <c r="A67" s="7">
        <v>1169000000</v>
      </c>
      <c r="B67" s="263" t="s">
        <v>237</v>
      </c>
      <c r="C67" s="307">
        <v>2245</v>
      </c>
      <c r="D67" s="308">
        <v>804.83001999999999</v>
      </c>
      <c r="E67" s="307">
        <f t="shared" si="0"/>
        <v>35.849889532293986</v>
      </c>
      <c r="F67" s="307">
        <f t="shared" si="1"/>
        <v>-1440.1699800000001</v>
      </c>
    </row>
    <row r="68" spans="1:8" ht="25.5" customHeight="1">
      <c r="A68" s="3">
        <v>1170000000</v>
      </c>
      <c r="B68" s="264" t="s">
        <v>135</v>
      </c>
      <c r="C68" s="306">
        <f>C69+C70</f>
        <v>0</v>
      </c>
      <c r="D68" s="306">
        <f>D69+D70</f>
        <v>0</v>
      </c>
      <c r="E68" s="307" t="e">
        <f t="shared" si="0"/>
        <v>#DIV/0!</v>
      </c>
      <c r="F68" s="306">
        <f t="shared" si="1"/>
        <v>0</v>
      </c>
    </row>
    <row r="69" spans="1:8" ht="23.25">
      <c r="A69" s="7">
        <v>1170105005</v>
      </c>
      <c r="B69" s="263" t="s">
        <v>18</v>
      </c>
      <c r="C69" s="307">
        <v>0</v>
      </c>
      <c r="D69" s="307">
        <v>0</v>
      </c>
      <c r="E69" s="307" t="e">
        <f t="shared" si="0"/>
        <v>#DIV/0!</v>
      </c>
      <c r="F69" s="307">
        <f t="shared" si="1"/>
        <v>0</v>
      </c>
    </row>
    <row r="70" spans="1:8" ht="23.25">
      <c r="A70" s="7">
        <v>1170505005</v>
      </c>
      <c r="B70" s="265" t="s">
        <v>221</v>
      </c>
      <c r="C70" s="307">
        <v>0</v>
      </c>
      <c r="D70" s="308">
        <v>0</v>
      </c>
      <c r="E70" s="307" t="e">
        <f t="shared" si="0"/>
        <v>#DIV/0!</v>
      </c>
      <c r="F70" s="307">
        <f t="shared" si="1"/>
        <v>0</v>
      </c>
    </row>
    <row r="71" spans="1:8" s="6" customFormat="1" ht="22.5">
      <c r="A71" s="3">
        <v>1000000000</v>
      </c>
      <c r="B71" s="262" t="s">
        <v>19</v>
      </c>
      <c r="C71" s="314">
        <f>SUM(C4,C32)</f>
        <v>148335</v>
      </c>
      <c r="D71" s="314">
        <f>SUM(D4,D32)</f>
        <v>35560.118020000002</v>
      </c>
      <c r="E71" s="306">
        <f>SUM(D71/C71*100)</f>
        <v>23.972843914113326</v>
      </c>
      <c r="F71" s="306">
        <f>SUM(D71-C71)</f>
        <v>-112774.88198000001</v>
      </c>
      <c r="G71" s="94"/>
      <c r="H71" s="94"/>
    </row>
    <row r="72" spans="1:8" s="6" customFormat="1" ht="18.75" customHeight="1">
      <c r="A72" s="3">
        <v>2000000000</v>
      </c>
      <c r="B72" s="262" t="s">
        <v>20</v>
      </c>
      <c r="C72" s="306">
        <f>C73+C76+C77+C78+C80+C75+C79</f>
        <v>592536.7895800001</v>
      </c>
      <c r="D72" s="306">
        <f>D73+D76+D77+D78+D80+D75+D79</f>
        <v>99864.910649999991</v>
      </c>
      <c r="E72" s="306">
        <f t="shared" si="0"/>
        <v>16.85379075293973</v>
      </c>
      <c r="F72" s="306">
        <f t="shared" si="1"/>
        <v>-492671.87893000012</v>
      </c>
      <c r="G72" s="94"/>
      <c r="H72" s="94"/>
    </row>
    <row r="73" spans="1:8" ht="21.75" customHeight="1">
      <c r="A73" s="16">
        <v>2021000000</v>
      </c>
      <c r="B73" s="266" t="s">
        <v>21</v>
      </c>
      <c r="C73" s="309">
        <v>24937.9</v>
      </c>
      <c r="D73" s="315">
        <v>6234.6</v>
      </c>
      <c r="E73" s="307">
        <f t="shared" si="0"/>
        <v>25.00050124509281</v>
      </c>
      <c r="F73" s="307">
        <f t="shared" si="1"/>
        <v>-18703.300000000003</v>
      </c>
    </row>
    <row r="74" spans="1:8" ht="32.25" hidden="1" customHeight="1">
      <c r="A74" s="16">
        <v>2020100905</v>
      </c>
      <c r="B74" s="269" t="s">
        <v>276</v>
      </c>
      <c r="C74" s="309">
        <v>0</v>
      </c>
      <c r="D74" s="315">
        <v>0</v>
      </c>
      <c r="E74" s="307" t="e">
        <f t="shared" si="0"/>
        <v>#DIV/0!</v>
      </c>
      <c r="F74" s="307">
        <f t="shared" si="1"/>
        <v>0</v>
      </c>
    </row>
    <row r="75" spans="1:8" ht="21.75" customHeight="1">
      <c r="A75" s="16">
        <v>2020100310</v>
      </c>
      <c r="B75" s="266" t="s">
        <v>232</v>
      </c>
      <c r="C75" s="309">
        <v>0</v>
      </c>
      <c r="D75" s="315">
        <v>0</v>
      </c>
      <c r="E75" s="307" t="e">
        <f t="shared" si="0"/>
        <v>#DIV/0!</v>
      </c>
      <c r="F75" s="307">
        <f t="shared" si="1"/>
        <v>0</v>
      </c>
    </row>
    <row r="76" spans="1:8" ht="23.25">
      <c r="A76" s="16">
        <v>2022000000</v>
      </c>
      <c r="B76" s="266" t="s">
        <v>22</v>
      </c>
      <c r="C76" s="309">
        <v>223275.57782000001</v>
      </c>
      <c r="D76" s="308">
        <v>6640.9669999999996</v>
      </c>
      <c r="E76" s="307">
        <f t="shared" si="0"/>
        <v>2.9743364970054205</v>
      </c>
      <c r="F76" s="307">
        <f t="shared" si="1"/>
        <v>-216634.61082</v>
      </c>
    </row>
    <row r="77" spans="1:8" ht="23.25">
      <c r="A77" s="16">
        <v>2023000000</v>
      </c>
      <c r="B77" s="266" t="s">
        <v>23</v>
      </c>
      <c r="C77" s="309">
        <v>323984.88176000002</v>
      </c>
      <c r="D77" s="316">
        <v>81893.604059999998</v>
      </c>
      <c r="E77" s="307">
        <f t="shared" si="0"/>
        <v>25.276983177463428</v>
      </c>
      <c r="F77" s="307">
        <f t="shared" si="1"/>
        <v>-242091.27770000004</v>
      </c>
    </row>
    <row r="78" spans="1:8" ht="19.5" customHeight="1">
      <c r="A78" s="16">
        <v>2024000000</v>
      </c>
      <c r="B78" s="269" t="s">
        <v>24</v>
      </c>
      <c r="C78" s="309">
        <v>20342.650000000001</v>
      </c>
      <c r="D78" s="317">
        <v>5097.7920000000004</v>
      </c>
      <c r="E78" s="307">
        <f t="shared" si="0"/>
        <v>25.059625958269937</v>
      </c>
      <c r="F78" s="307">
        <f t="shared" si="1"/>
        <v>-15244.858</v>
      </c>
    </row>
    <row r="79" spans="1:8" ht="23.25">
      <c r="A79" s="16">
        <v>2180500005</v>
      </c>
      <c r="B79" s="269" t="s">
        <v>325</v>
      </c>
      <c r="C79" s="309">
        <v>0</v>
      </c>
      <c r="D79" s="317">
        <v>2.1675900000000001</v>
      </c>
      <c r="E79" s="307" t="e">
        <f t="shared" si="0"/>
        <v>#DIV/0!</v>
      </c>
      <c r="F79" s="307">
        <f t="shared" si="1"/>
        <v>2.1675900000000001</v>
      </c>
    </row>
    <row r="80" spans="1:8" ht="22.5" customHeight="1">
      <c r="A80" s="7">
        <v>2196001005</v>
      </c>
      <c r="B80" s="265" t="s">
        <v>26</v>
      </c>
      <c r="C80" s="318">
        <v>-4.22</v>
      </c>
      <c r="D80" s="318">
        <v>-4.22</v>
      </c>
      <c r="E80" s="307">
        <f t="shared" si="0"/>
        <v>100</v>
      </c>
      <c r="F80" s="306">
        <f>SUM(D80-C80)</f>
        <v>0</v>
      </c>
    </row>
    <row r="81" spans="1:8" s="6" customFormat="1" ht="56.25" hidden="1">
      <c r="A81" s="3">
        <v>3000000000</v>
      </c>
      <c r="B81" s="264" t="s">
        <v>27</v>
      </c>
      <c r="C81" s="311">
        <v>0</v>
      </c>
      <c r="D81" s="318">
        <v>0</v>
      </c>
      <c r="E81" s="307" t="e">
        <f t="shared" si="0"/>
        <v>#DIV/0!</v>
      </c>
      <c r="F81" s="306">
        <f t="shared" si="1"/>
        <v>0</v>
      </c>
    </row>
    <row r="82" spans="1:8" s="6" customFormat="1" ht="16.5" customHeight="1">
      <c r="A82" s="3"/>
      <c r="B82" s="262" t="s">
        <v>28</v>
      </c>
      <c r="C82" s="351">
        <f>C71+C72</f>
        <v>740871.7895800001</v>
      </c>
      <c r="D82" s="351">
        <f>D71+D72</f>
        <v>135425.02867</v>
      </c>
      <c r="E82" s="307">
        <f>SUM(D82/C82*100)</f>
        <v>18.27914499845815</v>
      </c>
      <c r="F82" s="306">
        <f>SUM(D83-C82)</f>
        <v>-735264.18158000009</v>
      </c>
      <c r="G82" s="350"/>
      <c r="H82" s="94"/>
    </row>
    <row r="83" spans="1:8" s="6" customFormat="1" ht="22.5">
      <c r="A83" s="3"/>
      <c r="B83" s="271" t="s">
        <v>321</v>
      </c>
      <c r="C83" s="319">
        <f>C82-C141</f>
        <v>-9930.6299999997718</v>
      </c>
      <c r="D83" s="306">
        <f>D82-D141</f>
        <v>5607.6079999999929</v>
      </c>
      <c r="E83" s="320"/>
      <c r="F83" s="320"/>
      <c r="G83" s="94"/>
      <c r="H83" s="94"/>
    </row>
    <row r="84" spans="1:8" ht="23.25">
      <c r="A84" s="23"/>
      <c r="B84" s="24"/>
      <c r="C84" s="321"/>
      <c r="D84" s="321"/>
      <c r="E84" s="322"/>
      <c r="F84" s="322"/>
    </row>
    <row r="85" spans="1:8" ht="63">
      <c r="A85" s="28" t="s">
        <v>1</v>
      </c>
      <c r="B85" s="28" t="s">
        <v>29</v>
      </c>
      <c r="C85" s="323" t="s">
        <v>346</v>
      </c>
      <c r="D85" s="324" t="s">
        <v>362</v>
      </c>
      <c r="E85" s="323" t="s">
        <v>3</v>
      </c>
      <c r="F85" s="325" t="s">
        <v>4</v>
      </c>
    </row>
    <row r="86" spans="1:8" ht="22.5">
      <c r="A86" s="29">
        <v>1</v>
      </c>
      <c r="B86" s="28">
        <v>2</v>
      </c>
      <c r="C86" s="365">
        <v>3</v>
      </c>
      <c r="D86" s="365">
        <v>4</v>
      </c>
      <c r="E86" s="326">
        <v>5</v>
      </c>
      <c r="F86" s="326">
        <v>6</v>
      </c>
    </row>
    <row r="87" spans="1:8" s="6" customFormat="1" ht="22.5">
      <c r="A87" s="30" t="s">
        <v>30</v>
      </c>
      <c r="B87" s="272" t="s">
        <v>31</v>
      </c>
      <c r="C87" s="320">
        <f>SUM(C88:C94)</f>
        <v>36743.703999999998</v>
      </c>
      <c r="D87" s="320">
        <f>SUM(D88:D94)</f>
        <v>7663.2464300000011</v>
      </c>
      <c r="E87" s="327">
        <f>SUM(D87/C87*100)</f>
        <v>20.855944272792971</v>
      </c>
      <c r="F87" s="327">
        <f>SUM(D87-C87)</f>
        <v>-29080.457569999999</v>
      </c>
    </row>
    <row r="88" spans="1:8" s="6" customFormat="1" ht="37.5">
      <c r="A88" s="35" t="s">
        <v>32</v>
      </c>
      <c r="B88" s="273" t="s">
        <v>33</v>
      </c>
      <c r="C88" s="352">
        <v>80</v>
      </c>
      <c r="D88" s="352">
        <v>0</v>
      </c>
      <c r="E88" s="327">
        <f>SUM(D88/C88*100)</f>
        <v>0</v>
      </c>
      <c r="F88" s="327">
        <f>SUM(D88-C88)</f>
        <v>-80</v>
      </c>
    </row>
    <row r="89" spans="1:8" ht="21.75" customHeight="1">
      <c r="A89" s="35" t="s">
        <v>34</v>
      </c>
      <c r="B89" s="274" t="s">
        <v>35</v>
      </c>
      <c r="C89" s="352">
        <v>22214.13</v>
      </c>
      <c r="D89" s="352">
        <v>4681.8996500000003</v>
      </c>
      <c r="E89" s="328">
        <f t="shared" ref="E89:E141" si="2">SUM(D89/C89*100)</f>
        <v>21.076223331726247</v>
      </c>
      <c r="F89" s="328">
        <f t="shared" ref="F89:F141" si="3">SUM(D89-C89)</f>
        <v>-17532.230350000002</v>
      </c>
    </row>
    <row r="90" spans="1:8" ht="19.5" customHeight="1">
      <c r="A90" s="35" t="s">
        <v>36</v>
      </c>
      <c r="B90" s="274" t="s">
        <v>37</v>
      </c>
      <c r="C90" s="352">
        <v>126.8</v>
      </c>
      <c r="D90" s="352">
        <v>0</v>
      </c>
      <c r="E90" s="328">
        <f t="shared" si="2"/>
        <v>0</v>
      </c>
      <c r="F90" s="328">
        <f t="shared" si="3"/>
        <v>-126.8</v>
      </c>
    </row>
    <row r="91" spans="1:8" ht="38.25" customHeight="1">
      <c r="A91" s="35" t="s">
        <v>38</v>
      </c>
      <c r="B91" s="274" t="s">
        <v>39</v>
      </c>
      <c r="C91" s="353">
        <v>5439.76</v>
      </c>
      <c r="D91" s="353">
        <v>1162.49008</v>
      </c>
      <c r="E91" s="328">
        <f t="shared" si="2"/>
        <v>21.370245746135858</v>
      </c>
      <c r="F91" s="328">
        <f t="shared" si="3"/>
        <v>-4277.2699200000006</v>
      </c>
    </row>
    <row r="92" spans="1:8" ht="18.75" customHeight="1">
      <c r="A92" s="35" t="s">
        <v>40</v>
      </c>
      <c r="B92" s="274" t="s">
        <v>41</v>
      </c>
      <c r="C92" s="352">
        <v>0</v>
      </c>
      <c r="D92" s="352">
        <v>0</v>
      </c>
      <c r="E92" s="328"/>
      <c r="F92" s="328">
        <f t="shared" si="3"/>
        <v>0</v>
      </c>
    </row>
    <row r="93" spans="1:8" ht="24.75" customHeight="1">
      <c r="A93" s="35" t="s">
        <v>42</v>
      </c>
      <c r="B93" s="274" t="s">
        <v>43</v>
      </c>
      <c r="C93" s="353">
        <v>395.91</v>
      </c>
      <c r="D93" s="353">
        <v>0</v>
      </c>
      <c r="E93" s="328">
        <f t="shared" si="2"/>
        <v>0</v>
      </c>
      <c r="F93" s="328">
        <f t="shared" si="3"/>
        <v>-395.91</v>
      </c>
    </row>
    <row r="94" spans="1:8" ht="24" customHeight="1">
      <c r="A94" s="35" t="s">
        <v>44</v>
      </c>
      <c r="B94" s="274" t="s">
        <v>45</v>
      </c>
      <c r="C94" s="352">
        <v>8487.1039999999994</v>
      </c>
      <c r="D94" s="352">
        <v>1818.8567</v>
      </c>
      <c r="E94" s="328">
        <f t="shared" si="2"/>
        <v>21.430828466341406</v>
      </c>
      <c r="F94" s="328">
        <f t="shared" si="3"/>
        <v>-6668.2472999999991</v>
      </c>
    </row>
    <row r="95" spans="1:8" s="6" customFormat="1" ht="22.5">
      <c r="A95" s="41" t="s">
        <v>46</v>
      </c>
      <c r="B95" s="275" t="s">
        <v>47</v>
      </c>
      <c r="C95" s="320">
        <f>C96</f>
        <v>1781.5</v>
      </c>
      <c r="D95" s="320">
        <f>D96</f>
        <v>432.67</v>
      </c>
      <c r="E95" s="327">
        <f t="shared" si="2"/>
        <v>24.286836935166995</v>
      </c>
      <c r="F95" s="327">
        <f t="shared" si="3"/>
        <v>-1348.83</v>
      </c>
    </row>
    <row r="96" spans="1:8" ht="23.25">
      <c r="A96" s="43" t="s">
        <v>48</v>
      </c>
      <c r="B96" s="276" t="s">
        <v>49</v>
      </c>
      <c r="C96" s="352">
        <v>1781.5</v>
      </c>
      <c r="D96" s="352">
        <v>432.67</v>
      </c>
      <c r="E96" s="328">
        <f t="shared" si="2"/>
        <v>24.286836935166995</v>
      </c>
      <c r="F96" s="328">
        <f t="shared" si="3"/>
        <v>-1348.83</v>
      </c>
    </row>
    <row r="97" spans="1:7" s="6" customFormat="1" ht="21" customHeight="1">
      <c r="A97" s="30" t="s">
        <v>50</v>
      </c>
      <c r="B97" s="272" t="s">
        <v>51</v>
      </c>
      <c r="C97" s="320">
        <f>SUM(C99:C101)</f>
        <v>4278.4830000000002</v>
      </c>
      <c r="D97" s="320">
        <f>SUM(D99:D101)</f>
        <v>722.52539999999999</v>
      </c>
      <c r="E97" s="327">
        <f t="shared" si="2"/>
        <v>16.887420144008985</v>
      </c>
      <c r="F97" s="327">
        <f t="shared" si="3"/>
        <v>-3555.9576000000002</v>
      </c>
    </row>
    <row r="98" spans="1:7" ht="23.25" hidden="1">
      <c r="A98" s="35" t="s">
        <v>52</v>
      </c>
      <c r="B98" s="274" t="s">
        <v>53</v>
      </c>
      <c r="C98" s="352"/>
      <c r="D98" s="352"/>
      <c r="E98" s="328" t="e">
        <f t="shared" si="2"/>
        <v>#DIV/0!</v>
      </c>
      <c r="F98" s="328">
        <f t="shared" si="3"/>
        <v>0</v>
      </c>
    </row>
    <row r="99" spans="1:7" ht="23.25">
      <c r="A99" s="45" t="s">
        <v>54</v>
      </c>
      <c r="B99" s="274" t="s">
        <v>327</v>
      </c>
      <c r="C99" s="352">
        <v>1555.6</v>
      </c>
      <c r="D99" s="352">
        <v>338</v>
      </c>
      <c r="E99" s="328">
        <f t="shared" si="2"/>
        <v>21.727950629982001</v>
      </c>
      <c r="F99" s="328">
        <f t="shared" si="3"/>
        <v>-1217.5999999999999</v>
      </c>
    </row>
    <row r="100" spans="1:7" ht="38.25">
      <c r="A100" s="46" t="s">
        <v>56</v>
      </c>
      <c r="B100" s="277" t="s">
        <v>57</v>
      </c>
      <c r="C100" s="352">
        <v>2722.8829999999998</v>
      </c>
      <c r="D100" s="352">
        <v>384.52539999999999</v>
      </c>
      <c r="E100" s="328">
        <f t="shared" si="2"/>
        <v>14.12199495901954</v>
      </c>
      <c r="F100" s="328">
        <f t="shared" si="3"/>
        <v>-2338.3575999999998</v>
      </c>
    </row>
    <row r="101" spans="1:7" ht="21" customHeight="1">
      <c r="A101" s="46" t="s">
        <v>219</v>
      </c>
      <c r="B101" s="277" t="s">
        <v>220</v>
      </c>
      <c r="C101" s="352">
        <v>0</v>
      </c>
      <c r="D101" s="352">
        <v>0</v>
      </c>
      <c r="E101" s="328" t="e">
        <f t="shared" si="2"/>
        <v>#DIV/0!</v>
      </c>
      <c r="F101" s="328">
        <f t="shared" si="3"/>
        <v>0</v>
      </c>
    </row>
    <row r="102" spans="1:7" s="6" customFormat="1" ht="25.5" customHeight="1">
      <c r="A102" s="30" t="s">
        <v>58</v>
      </c>
      <c r="B102" s="272" t="s">
        <v>59</v>
      </c>
      <c r="C102" s="354">
        <f>SUM(C104:C106)</f>
        <v>179068.12</v>
      </c>
      <c r="D102" s="354">
        <f>SUM(D104:D106)</f>
        <v>5187.7975399999996</v>
      </c>
      <c r="E102" s="327">
        <f t="shared" si="2"/>
        <v>2.8971083965141311</v>
      </c>
      <c r="F102" s="327">
        <f t="shared" si="3"/>
        <v>-173880.32246</v>
      </c>
    </row>
    <row r="103" spans="1:7" ht="0.75" hidden="1" customHeight="1">
      <c r="A103" s="35" t="s">
        <v>60</v>
      </c>
      <c r="B103" s="274" t="s">
        <v>61</v>
      </c>
      <c r="C103" s="355">
        <v>0</v>
      </c>
      <c r="D103" s="352">
        <v>0</v>
      </c>
      <c r="E103" s="328" t="e">
        <f t="shared" si="2"/>
        <v>#DIV/0!</v>
      </c>
      <c r="F103" s="328">
        <f t="shared" si="3"/>
        <v>0</v>
      </c>
    </row>
    <row r="104" spans="1:7" s="6" customFormat="1" ht="20.25" customHeight="1">
      <c r="A104" s="35" t="s">
        <v>60</v>
      </c>
      <c r="B104" s="274" t="s">
        <v>324</v>
      </c>
      <c r="C104" s="355">
        <v>72.400000000000006</v>
      </c>
      <c r="D104" s="352">
        <v>9</v>
      </c>
      <c r="E104" s="328">
        <f t="shared" si="2"/>
        <v>12.430939226519335</v>
      </c>
      <c r="F104" s="328">
        <f t="shared" si="3"/>
        <v>-63.400000000000006</v>
      </c>
      <c r="G104" s="50"/>
    </row>
    <row r="105" spans="1:7" ht="26.25" customHeight="1">
      <c r="A105" s="35" t="s">
        <v>64</v>
      </c>
      <c r="B105" s="274" t="s">
        <v>65</v>
      </c>
      <c r="C105" s="355">
        <v>177616.32</v>
      </c>
      <c r="D105" s="352">
        <v>4874.8317399999996</v>
      </c>
      <c r="E105" s="328">
        <f t="shared" si="2"/>
        <v>2.744585486288647</v>
      </c>
      <c r="F105" s="328">
        <f t="shared" si="3"/>
        <v>-172741.48826000001</v>
      </c>
    </row>
    <row r="106" spans="1:7" ht="38.25">
      <c r="A106" s="35" t="s">
        <v>66</v>
      </c>
      <c r="B106" s="274" t="s">
        <v>67</v>
      </c>
      <c r="C106" s="355">
        <v>1379.4</v>
      </c>
      <c r="D106" s="352">
        <v>303.9658</v>
      </c>
      <c r="E106" s="328">
        <f t="shared" si="2"/>
        <v>22.036088154269969</v>
      </c>
      <c r="F106" s="328">
        <f t="shared" si="3"/>
        <v>-1075.4342000000001</v>
      </c>
    </row>
    <row r="107" spans="1:7" s="6" customFormat="1" ht="37.5">
      <c r="A107" s="30" t="s">
        <v>68</v>
      </c>
      <c r="B107" s="272" t="s">
        <v>69</v>
      </c>
      <c r="C107" s="320">
        <f>SUM(C108:C110)</f>
        <v>7262.2081500000004</v>
      </c>
      <c r="D107" s="320">
        <f>SUM(D108:D110)</f>
        <v>31.404720000000001</v>
      </c>
      <c r="E107" s="327">
        <f t="shared" si="2"/>
        <v>0.43244037283618753</v>
      </c>
      <c r="F107" s="327">
        <f t="shared" si="3"/>
        <v>-7230.8034299999999</v>
      </c>
    </row>
    <row r="108" spans="1:7" ht="23.25">
      <c r="A108" s="35" t="s">
        <v>70</v>
      </c>
      <c r="B108" s="278" t="s">
        <v>71</v>
      </c>
      <c r="C108" s="352">
        <v>1577.10176</v>
      </c>
      <c r="D108" s="352">
        <v>31.404720000000001</v>
      </c>
      <c r="E108" s="328">
        <f t="shared" si="2"/>
        <v>1.9912931934081415</v>
      </c>
      <c r="F108" s="328">
        <f t="shared" si="3"/>
        <v>-1545.69704</v>
      </c>
    </row>
    <row r="109" spans="1:7" ht="24" customHeight="1">
      <c r="A109" s="35" t="s">
        <v>72</v>
      </c>
      <c r="B109" s="278" t="s">
        <v>73</v>
      </c>
      <c r="C109" s="352">
        <v>5685.1063899999999</v>
      </c>
      <c r="D109" s="352">
        <v>0</v>
      </c>
      <c r="E109" s="328">
        <f t="shared" si="2"/>
        <v>0</v>
      </c>
      <c r="F109" s="328">
        <f t="shared" si="3"/>
        <v>-5685.1063899999999</v>
      </c>
    </row>
    <row r="110" spans="1:7" ht="19.5" customHeight="1">
      <c r="A110" s="35" t="s">
        <v>74</v>
      </c>
      <c r="B110" s="274" t="s">
        <v>75</v>
      </c>
      <c r="C110" s="352">
        <v>0</v>
      </c>
      <c r="D110" s="352">
        <v>0</v>
      </c>
      <c r="E110" s="328" t="e">
        <f t="shared" si="2"/>
        <v>#DIV/0!</v>
      </c>
      <c r="F110" s="328">
        <f t="shared" si="3"/>
        <v>0</v>
      </c>
    </row>
    <row r="111" spans="1:7" s="6" customFormat="1" ht="22.5">
      <c r="A111" s="30" t="s">
        <v>76</v>
      </c>
      <c r="B111" s="279" t="s">
        <v>77</v>
      </c>
      <c r="C111" s="354">
        <f>SUM(C112)</f>
        <v>51</v>
      </c>
      <c r="D111" s="354">
        <f>SUM(D112)</f>
        <v>0</v>
      </c>
      <c r="E111" s="327">
        <f t="shared" si="2"/>
        <v>0</v>
      </c>
      <c r="F111" s="327">
        <f t="shared" si="3"/>
        <v>-51</v>
      </c>
    </row>
    <row r="112" spans="1:7" ht="38.25">
      <c r="A112" s="35" t="s">
        <v>78</v>
      </c>
      <c r="B112" s="278" t="s">
        <v>79</v>
      </c>
      <c r="C112" s="328">
        <v>51</v>
      </c>
      <c r="D112" s="353">
        <v>0</v>
      </c>
      <c r="E112" s="328">
        <f t="shared" si="2"/>
        <v>0</v>
      </c>
      <c r="F112" s="328">
        <f t="shared" si="3"/>
        <v>-51</v>
      </c>
    </row>
    <row r="113" spans="1:6" s="6" customFormat="1" ht="22.5">
      <c r="A113" s="30" t="s">
        <v>80</v>
      </c>
      <c r="B113" s="279" t="s">
        <v>81</v>
      </c>
      <c r="C113" s="354">
        <f>SUM(C114:C118)</f>
        <v>401917.98499999999</v>
      </c>
      <c r="D113" s="354">
        <f>D114+D115+D117+D118+D116</f>
        <v>91947.741380000007</v>
      </c>
      <c r="E113" s="327">
        <f t="shared" si="2"/>
        <v>22.877239837873891</v>
      </c>
      <c r="F113" s="327">
        <f t="shared" si="3"/>
        <v>-309970.24361999996</v>
      </c>
    </row>
    <row r="114" spans="1:6" ht="23.25">
      <c r="A114" s="35" t="s">
        <v>82</v>
      </c>
      <c r="B114" s="278" t="s">
        <v>258</v>
      </c>
      <c r="C114" s="355">
        <v>90005.5098</v>
      </c>
      <c r="D114" s="352">
        <v>23147.910800000001</v>
      </c>
      <c r="E114" s="328">
        <f t="shared" si="2"/>
        <v>25.718326412945892</v>
      </c>
      <c r="F114" s="328">
        <f t="shared" si="3"/>
        <v>-66857.599000000002</v>
      </c>
    </row>
    <row r="115" spans="1:6" ht="23.25">
      <c r="A115" s="35" t="s">
        <v>83</v>
      </c>
      <c r="B115" s="278" t="s">
        <v>259</v>
      </c>
      <c r="C115" s="355">
        <v>281528.27519999997</v>
      </c>
      <c r="D115" s="352">
        <v>62898.817029999998</v>
      </c>
      <c r="E115" s="328">
        <f t="shared" si="2"/>
        <v>22.341918226620813</v>
      </c>
      <c r="F115" s="328">
        <f t="shared" si="3"/>
        <v>-218629.45816999997</v>
      </c>
    </row>
    <row r="116" spans="1:6" ht="23.25">
      <c r="A116" s="35" t="s">
        <v>335</v>
      </c>
      <c r="B116" s="278" t="s">
        <v>336</v>
      </c>
      <c r="C116" s="355">
        <v>16752.2</v>
      </c>
      <c r="D116" s="352">
        <v>4218.6570000000002</v>
      </c>
      <c r="E116" s="328">
        <f t="shared" si="2"/>
        <v>25.182704361218228</v>
      </c>
      <c r="F116" s="328">
        <f t="shared" si="3"/>
        <v>-12533.543000000001</v>
      </c>
    </row>
    <row r="117" spans="1:6" ht="23.25">
      <c r="A117" s="35" t="s">
        <v>84</v>
      </c>
      <c r="B117" s="278" t="s">
        <v>260</v>
      </c>
      <c r="C117" s="355">
        <v>5518</v>
      </c>
      <c r="D117" s="352">
        <v>38.169919999999998</v>
      </c>
      <c r="E117" s="328">
        <f t="shared" si="2"/>
        <v>0.69173468648060887</v>
      </c>
      <c r="F117" s="328">
        <f t="shared" si="3"/>
        <v>-5479.8300799999997</v>
      </c>
    </row>
    <row r="118" spans="1:6" ht="23.25">
      <c r="A118" s="35" t="s">
        <v>85</v>
      </c>
      <c r="B118" s="278" t="s">
        <v>261</v>
      </c>
      <c r="C118" s="355">
        <v>8114</v>
      </c>
      <c r="D118" s="352">
        <v>1644.1866299999999</v>
      </c>
      <c r="E118" s="328">
        <f t="shared" si="2"/>
        <v>20.263576904116341</v>
      </c>
      <c r="F118" s="328">
        <f t="shared" si="3"/>
        <v>-6469.8133699999998</v>
      </c>
    </row>
    <row r="119" spans="1:6" s="6" customFormat="1" ht="22.5">
      <c r="A119" s="30" t="s">
        <v>86</v>
      </c>
      <c r="B119" s="272" t="s">
        <v>87</v>
      </c>
      <c r="C119" s="320">
        <f>SUM(C120:C121)</f>
        <v>46147.400430000002</v>
      </c>
      <c r="D119" s="320">
        <f>SUM(D120:D121)</f>
        <v>10403.45469</v>
      </c>
      <c r="E119" s="327">
        <f t="shared" si="2"/>
        <v>22.543966925679328</v>
      </c>
      <c r="F119" s="327">
        <f t="shared" si="3"/>
        <v>-35743.945740000003</v>
      </c>
    </row>
    <row r="120" spans="1:6" ht="23.25">
      <c r="A120" s="35" t="s">
        <v>88</v>
      </c>
      <c r="B120" s="274" t="s">
        <v>234</v>
      </c>
      <c r="C120" s="352">
        <v>45067.400430000002</v>
      </c>
      <c r="D120" s="352">
        <v>10049.14364</v>
      </c>
      <c r="E120" s="328">
        <f t="shared" si="2"/>
        <v>22.298032600324092</v>
      </c>
      <c r="F120" s="328">
        <f t="shared" si="3"/>
        <v>-35018.256789999999</v>
      </c>
    </row>
    <row r="121" spans="1:6" ht="38.25">
      <c r="A121" s="35" t="s">
        <v>273</v>
      </c>
      <c r="B121" s="274" t="s">
        <v>274</v>
      </c>
      <c r="C121" s="352">
        <v>1080</v>
      </c>
      <c r="D121" s="352">
        <v>354.31105000000002</v>
      </c>
      <c r="E121" s="328">
        <f t="shared" si="2"/>
        <v>32.806578703703707</v>
      </c>
      <c r="F121" s="328">
        <f t="shared" si="3"/>
        <v>-725.68894999999998</v>
      </c>
    </row>
    <row r="122" spans="1:6" s="6" customFormat="1" ht="22.5">
      <c r="A122" s="52">
        <v>1000</v>
      </c>
      <c r="B122" s="272" t="s">
        <v>89</v>
      </c>
      <c r="C122" s="320">
        <f>SUM(C123:C126)</f>
        <v>30977.825000000001</v>
      </c>
      <c r="D122" s="356">
        <f>SUM(D123:D126)</f>
        <v>1865.6745099999998</v>
      </c>
      <c r="E122" s="327">
        <f t="shared" si="2"/>
        <v>6.0226129820282726</v>
      </c>
      <c r="F122" s="327">
        <f t="shared" si="3"/>
        <v>-29112.15049</v>
      </c>
    </row>
    <row r="123" spans="1:6" ht="23.25">
      <c r="A123" s="53">
        <v>1001</v>
      </c>
      <c r="B123" s="280" t="s">
        <v>90</v>
      </c>
      <c r="C123" s="352">
        <v>20</v>
      </c>
      <c r="D123" s="352">
        <v>0.17671000000000001</v>
      </c>
      <c r="E123" s="328">
        <f t="shared" si="2"/>
        <v>0.88354999999999995</v>
      </c>
      <c r="F123" s="328">
        <f t="shared" si="3"/>
        <v>-19.82329</v>
      </c>
    </row>
    <row r="124" spans="1:6" ht="23.25">
      <c r="A124" s="53">
        <v>1003</v>
      </c>
      <c r="B124" s="280" t="s">
        <v>91</v>
      </c>
      <c r="C124" s="352">
        <v>25782.400000000001</v>
      </c>
      <c r="D124" s="352">
        <v>1652.1429000000001</v>
      </c>
      <c r="E124" s="328">
        <f t="shared" si="2"/>
        <v>6.4080260177485417</v>
      </c>
      <c r="F124" s="328">
        <f t="shared" si="3"/>
        <v>-24130.257100000003</v>
      </c>
    </row>
    <row r="125" spans="1:6" ht="23.25">
      <c r="A125" s="53">
        <v>1004</v>
      </c>
      <c r="B125" s="280" t="s">
        <v>92</v>
      </c>
      <c r="C125" s="352">
        <v>4836.38</v>
      </c>
      <c r="D125" s="357">
        <v>176.68519000000001</v>
      </c>
      <c r="E125" s="328">
        <f t="shared" si="2"/>
        <v>3.6532528461369869</v>
      </c>
      <c r="F125" s="328">
        <f t="shared" si="3"/>
        <v>-4659.69481</v>
      </c>
    </row>
    <row r="126" spans="1:6" ht="24.75" customHeight="1">
      <c r="A126" s="35" t="s">
        <v>93</v>
      </c>
      <c r="B126" s="274" t="s">
        <v>94</v>
      </c>
      <c r="C126" s="352">
        <v>339.04500000000002</v>
      </c>
      <c r="D126" s="352">
        <v>36.669710000000002</v>
      </c>
      <c r="E126" s="328">
        <f t="shared" si="2"/>
        <v>10.815587901311035</v>
      </c>
      <c r="F126" s="328">
        <f t="shared" si="3"/>
        <v>-302.37529000000001</v>
      </c>
    </row>
    <row r="127" spans="1:6" ht="23.25">
      <c r="A127" s="30" t="s">
        <v>95</v>
      </c>
      <c r="B127" s="272" t="s">
        <v>96</v>
      </c>
      <c r="C127" s="320">
        <f>C128+C129</f>
        <v>8811.2000000000007</v>
      </c>
      <c r="D127" s="320">
        <f>D128+D129</f>
        <v>1605.4059999999999</v>
      </c>
      <c r="E127" s="328">
        <f t="shared" si="2"/>
        <v>18.220060831668782</v>
      </c>
      <c r="F127" s="320">
        <f>F128+F129+F130+F131+F132</f>
        <v>-7205.7939999999999</v>
      </c>
    </row>
    <row r="128" spans="1:6" ht="23.25">
      <c r="A128" s="35" t="s">
        <v>97</v>
      </c>
      <c r="B128" s="274" t="s">
        <v>98</v>
      </c>
      <c r="C128" s="352">
        <v>400</v>
      </c>
      <c r="D128" s="352">
        <v>45.77</v>
      </c>
      <c r="E128" s="328">
        <f t="shared" si="2"/>
        <v>11.442500000000001</v>
      </c>
      <c r="F128" s="328">
        <f t="shared" ref="F128:F136" si="4">SUM(D128-C128)</f>
        <v>-354.23</v>
      </c>
    </row>
    <row r="129" spans="1:6" ht="20.25" customHeight="1">
      <c r="A129" s="35" t="s">
        <v>99</v>
      </c>
      <c r="B129" s="274" t="s">
        <v>100</v>
      </c>
      <c r="C129" s="352">
        <v>8411.2000000000007</v>
      </c>
      <c r="D129" s="352">
        <v>1559.636</v>
      </c>
      <c r="E129" s="328">
        <f t="shared" si="2"/>
        <v>18.542372075328132</v>
      </c>
      <c r="F129" s="328">
        <f t="shared" si="4"/>
        <v>-6851.5640000000003</v>
      </c>
    </row>
    <row r="130" spans="1:6" ht="15.75" hidden="1" customHeight="1">
      <c r="A130" s="35" t="s">
        <v>101</v>
      </c>
      <c r="B130" s="274" t="s">
        <v>102</v>
      </c>
      <c r="C130" s="352">
        <f>SUM(C120:C121)</f>
        <v>46147.400430000002</v>
      </c>
      <c r="D130" s="352"/>
      <c r="E130" s="328">
        <f t="shared" si="2"/>
        <v>0</v>
      </c>
      <c r="F130" s="328"/>
    </row>
    <row r="131" spans="1:6" ht="15.75" hidden="1" customHeight="1">
      <c r="A131" s="35" t="s">
        <v>103</v>
      </c>
      <c r="B131" s="274" t="s">
        <v>104</v>
      </c>
      <c r="C131" s="352"/>
      <c r="D131" s="352"/>
      <c r="E131" s="328" t="e">
        <f t="shared" si="2"/>
        <v>#DIV/0!</v>
      </c>
      <c r="F131" s="328"/>
    </row>
    <row r="132" spans="1:6" ht="15.75" hidden="1" customHeight="1">
      <c r="A132" s="35" t="s">
        <v>105</v>
      </c>
      <c r="B132" s="274" t="s">
        <v>106</v>
      </c>
      <c r="C132" s="352"/>
      <c r="D132" s="352"/>
      <c r="E132" s="328" t="e">
        <f t="shared" si="2"/>
        <v>#DIV/0!</v>
      </c>
      <c r="F132" s="328"/>
    </row>
    <row r="133" spans="1:6" ht="20.25" customHeight="1">
      <c r="A133" s="30" t="s">
        <v>107</v>
      </c>
      <c r="B133" s="272" t="s">
        <v>108</v>
      </c>
      <c r="C133" s="320">
        <f>C134</f>
        <v>80</v>
      </c>
      <c r="D133" s="358">
        <f>D134</f>
        <v>0</v>
      </c>
      <c r="E133" s="328">
        <f>SUM(D133/C133*100)</f>
        <v>0</v>
      </c>
      <c r="F133" s="328">
        <f t="shared" si="4"/>
        <v>-80</v>
      </c>
    </row>
    <row r="134" spans="1:6" ht="20.25" customHeight="1">
      <c r="A134" s="35" t="s">
        <v>109</v>
      </c>
      <c r="B134" s="274" t="s">
        <v>110</v>
      </c>
      <c r="C134" s="352">
        <v>80</v>
      </c>
      <c r="D134" s="352">
        <v>0</v>
      </c>
      <c r="E134" s="328">
        <f t="shared" si="2"/>
        <v>0</v>
      </c>
      <c r="F134" s="328">
        <f t="shared" si="4"/>
        <v>-80</v>
      </c>
    </row>
    <row r="135" spans="1:6" ht="19.5" customHeight="1">
      <c r="A135" s="30" t="s">
        <v>111</v>
      </c>
      <c r="B135" s="275" t="s">
        <v>112</v>
      </c>
      <c r="C135" s="359">
        <f>C136</f>
        <v>0</v>
      </c>
      <c r="D135" s="359">
        <f>D136</f>
        <v>0</v>
      </c>
      <c r="E135" s="328" t="e">
        <f t="shared" si="2"/>
        <v>#DIV/0!</v>
      </c>
      <c r="F135" s="327">
        <f t="shared" si="4"/>
        <v>0</v>
      </c>
    </row>
    <row r="136" spans="1:6" ht="37.5" customHeight="1">
      <c r="A136" s="35" t="s">
        <v>113</v>
      </c>
      <c r="B136" s="276" t="s">
        <v>114</v>
      </c>
      <c r="C136" s="353">
        <v>0</v>
      </c>
      <c r="D136" s="353">
        <v>0</v>
      </c>
      <c r="E136" s="327"/>
      <c r="F136" s="328">
        <f t="shared" si="4"/>
        <v>0</v>
      </c>
    </row>
    <row r="137" spans="1:6" s="6" customFormat="1" ht="19.5" customHeight="1">
      <c r="A137" s="52">
        <v>1400</v>
      </c>
      <c r="B137" s="281" t="s">
        <v>115</v>
      </c>
      <c r="C137" s="354">
        <f>C138+C139+C140</f>
        <v>33682.993999999999</v>
      </c>
      <c r="D137" s="354">
        <f>D138+D139+D140</f>
        <v>9957.5</v>
      </c>
      <c r="E137" s="327">
        <f t="shared" si="2"/>
        <v>29.56239578940043</v>
      </c>
      <c r="F137" s="327">
        <f t="shared" si="3"/>
        <v>-23725.493999999999</v>
      </c>
    </row>
    <row r="138" spans="1:6" ht="40.5" customHeight="1">
      <c r="A138" s="53">
        <v>1401</v>
      </c>
      <c r="B138" s="280" t="s">
        <v>116</v>
      </c>
      <c r="C138" s="355">
        <v>28169.9</v>
      </c>
      <c r="D138" s="352">
        <v>9390</v>
      </c>
      <c r="E138" s="328">
        <f t="shared" si="2"/>
        <v>33.333451662945194</v>
      </c>
      <c r="F138" s="328">
        <f t="shared" si="3"/>
        <v>-18779.900000000001</v>
      </c>
    </row>
    <row r="139" spans="1:6" ht="24.75" customHeight="1">
      <c r="A139" s="53">
        <v>1402</v>
      </c>
      <c r="B139" s="280" t="s">
        <v>117</v>
      </c>
      <c r="C139" s="355">
        <v>4837.4939999999997</v>
      </c>
      <c r="D139" s="352">
        <v>567.5</v>
      </c>
      <c r="E139" s="328">
        <f t="shared" si="2"/>
        <v>11.731280700296477</v>
      </c>
      <c r="F139" s="328">
        <f t="shared" si="3"/>
        <v>-4269.9939999999997</v>
      </c>
    </row>
    <row r="140" spans="1:6" ht="27" customHeight="1">
      <c r="A140" s="53">
        <v>1403</v>
      </c>
      <c r="B140" s="280" t="s">
        <v>118</v>
      </c>
      <c r="C140" s="355">
        <v>675.6</v>
      </c>
      <c r="D140" s="352">
        <v>0</v>
      </c>
      <c r="E140" s="328">
        <f t="shared" si="2"/>
        <v>0</v>
      </c>
      <c r="F140" s="328">
        <f t="shared" si="3"/>
        <v>-675.6</v>
      </c>
    </row>
    <row r="141" spans="1:6" s="6" customFormat="1" ht="22.5">
      <c r="A141" s="52"/>
      <c r="B141" s="282" t="s">
        <v>119</v>
      </c>
      <c r="C141" s="351">
        <f>C87+C95+C97+C102+C107+C111+C113+C119+C122+C127+C133+C135+C137</f>
        <v>750802.41957999987</v>
      </c>
      <c r="D141" s="351">
        <f>D87+D95+D97+D102+D107+D111+D113+D119+D122+D127+D133+D135+D137</f>
        <v>129817.42067000001</v>
      </c>
      <c r="E141" s="327">
        <f t="shared" si="2"/>
        <v>17.290490451884811</v>
      </c>
      <c r="F141" s="327">
        <f t="shared" si="3"/>
        <v>-620984.99890999985</v>
      </c>
    </row>
    <row r="142" spans="1:6">
      <c r="C142" s="284"/>
      <c r="D142" s="285"/>
    </row>
    <row r="143" spans="1:6" s="65" customFormat="1" ht="12.75">
      <c r="A143" s="63" t="s">
        <v>120</v>
      </c>
      <c r="B143" s="63"/>
      <c r="C143" s="256"/>
      <c r="D143" s="259"/>
    </row>
    <row r="144" spans="1:6" s="65" customFormat="1" ht="12.75">
      <c r="A144" s="66" t="s">
        <v>121</v>
      </c>
      <c r="B144" s="66"/>
      <c r="C144" s="256" t="s">
        <v>122</v>
      </c>
      <c r="D144" s="259"/>
    </row>
  </sheetData>
  <customSheetViews>
    <customSheetView guid="{A54C432C-6C68-4B53-A75C-446EB3A61B2B}" scale="60" showPageBreaks="1" hiddenRows="1" view="pageBreakPreview">
      <selection activeCell="C141" sqref="C141:D141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5BFCA170-DEAE-4D2C-98A0-1E68B427AC01}" scale="67" showPageBreaks="1" hiddenRows="1" view="pageBreakPreview" topLeftCell="A66">
      <selection activeCell="A3" sqref="A3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2"/>
      <headerFooter alignWithMargins="0"/>
    </customSheetView>
    <customSheetView guid="{42584DC0-1D41-4C93-9B38-C388E7B8DAC4}" scale="67" showPageBreaks="1" hiddenRows="1" view="pageBreakPreview" topLeftCell="A66">
      <selection activeCell="A3" sqref="A3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3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45" orientation="portrait" r:id="rId4"/>
  <headerFooter alignWithMargins="0"/>
  <rowBreaks count="1" manualBreakCount="1">
    <brk id="6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10" width="9.140625" style="1" customWidth="1"/>
    <col min="11" max="11" width="11.7109375" style="1" bestFit="1" customWidth="1"/>
    <col min="12" max="16384" width="9.140625" style="1"/>
  </cols>
  <sheetData>
    <row r="1" spans="1:6">
      <c r="A1" s="437" t="s">
        <v>365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516.89</v>
      </c>
      <c r="D4" s="5">
        <f>D5+D12+D14+D17+D20+D7</f>
        <v>89.303939999999983</v>
      </c>
      <c r="E4" s="5">
        <f>SUM(D4/C4*100)</f>
        <v>17.277165354330705</v>
      </c>
      <c r="F4" s="5">
        <f>SUM(D4-C4)</f>
        <v>-427.58605999999997</v>
      </c>
    </row>
    <row r="5" spans="1:6" s="6" customFormat="1">
      <c r="A5" s="68">
        <v>1010000000</v>
      </c>
      <c r="B5" s="67" t="s">
        <v>6</v>
      </c>
      <c r="C5" s="5">
        <f>C6</f>
        <v>59</v>
      </c>
      <c r="D5" s="5">
        <f>D6</f>
        <v>17.644179999999999</v>
      </c>
      <c r="E5" s="5">
        <f t="shared" ref="E5:E47" si="0">SUM(D5/C5*100)</f>
        <v>29.905389830508472</v>
      </c>
      <c r="F5" s="5">
        <f t="shared" ref="F5:F47" si="1">SUM(D5-C5)</f>
        <v>-41.355820000000001</v>
      </c>
    </row>
    <row r="6" spans="1:6">
      <c r="A6" s="7">
        <v>1010200001</v>
      </c>
      <c r="B6" s="8" t="s">
        <v>229</v>
      </c>
      <c r="C6" s="9">
        <v>59</v>
      </c>
      <c r="D6" s="10">
        <v>17.644179999999999</v>
      </c>
      <c r="E6" s="9">
        <f t="shared" ref="E6:E11" si="2">SUM(D6/C6*100)</f>
        <v>29.905389830508472</v>
      </c>
      <c r="F6" s="9">
        <f t="shared" si="1"/>
        <v>-41.355820000000001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51.328279999999992</v>
      </c>
      <c r="E7" s="9">
        <f t="shared" si="2"/>
        <v>23.342707717495109</v>
      </c>
      <c r="F7" s="9">
        <f t="shared" si="1"/>
        <v>-168.56171999999998</v>
      </c>
    </row>
    <row r="8" spans="1:6">
      <c r="A8" s="7">
        <v>1030223001</v>
      </c>
      <c r="B8" s="8" t="s">
        <v>283</v>
      </c>
      <c r="C8" s="9">
        <v>82.02</v>
      </c>
      <c r="D8" s="10">
        <v>21.146409999999999</v>
      </c>
      <c r="E8" s="9">
        <f t="shared" si="2"/>
        <v>25.782016581321631</v>
      </c>
      <c r="F8" s="9">
        <f t="shared" si="1"/>
        <v>-60.873589999999993</v>
      </c>
    </row>
    <row r="9" spans="1:6">
      <c r="A9" s="7">
        <v>1030224001</v>
      </c>
      <c r="B9" s="8" t="s">
        <v>287</v>
      </c>
      <c r="C9" s="9">
        <v>0.88</v>
      </c>
      <c r="D9" s="10">
        <v>0.14255000000000001</v>
      </c>
      <c r="E9" s="9">
        <f t="shared" si="2"/>
        <v>16.198863636363637</v>
      </c>
      <c r="F9" s="9">
        <f t="shared" si="1"/>
        <v>-0.73744999999999994</v>
      </c>
    </row>
    <row r="10" spans="1:6">
      <c r="A10" s="7">
        <v>1030225001</v>
      </c>
      <c r="B10" s="8" t="s">
        <v>282</v>
      </c>
      <c r="C10" s="9">
        <v>136.99</v>
      </c>
      <c r="D10" s="10">
        <v>34.44567</v>
      </c>
      <c r="E10" s="9">
        <f t="shared" si="2"/>
        <v>25.144660194174755</v>
      </c>
      <c r="F10" s="9">
        <f t="shared" si="1"/>
        <v>-102.54433</v>
      </c>
    </row>
    <row r="11" spans="1:6">
      <c r="A11" s="7">
        <v>1030226001</v>
      </c>
      <c r="B11" s="8" t="s">
        <v>288</v>
      </c>
      <c r="C11" s="9">
        <v>0</v>
      </c>
      <c r="D11" s="10">
        <v>-4.4063499999999998</v>
      </c>
      <c r="E11" s="9" t="e">
        <f t="shared" si="2"/>
        <v>#DIV/0!</v>
      </c>
      <c r="F11" s="9">
        <f t="shared" si="1"/>
        <v>-4.4063499999999998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230</v>
      </c>
      <c r="D14" s="5">
        <f>D15+D16</f>
        <v>17.981479999999998</v>
      </c>
      <c r="E14" s="5">
        <f t="shared" si="0"/>
        <v>7.8180347826086942</v>
      </c>
      <c r="F14" s="5">
        <f t="shared" si="1"/>
        <v>-212.01852</v>
      </c>
    </row>
    <row r="15" spans="1:6" s="6" customFormat="1" ht="15.75" customHeight="1">
      <c r="A15" s="7">
        <v>1060100000</v>
      </c>
      <c r="B15" s="11" t="s">
        <v>9</v>
      </c>
      <c r="C15" s="9">
        <v>30</v>
      </c>
      <c r="D15" s="10">
        <v>1.38588</v>
      </c>
      <c r="E15" s="9">
        <f t="shared" si="0"/>
        <v>4.6196000000000002</v>
      </c>
      <c r="F15" s="9">
        <f>SUM(D15-C15)</f>
        <v>-28.61412</v>
      </c>
    </row>
    <row r="16" spans="1:6" ht="15" customHeight="1">
      <c r="A16" s="7">
        <v>1060600000</v>
      </c>
      <c r="B16" s="11" t="s">
        <v>8</v>
      </c>
      <c r="C16" s="9">
        <v>200</v>
      </c>
      <c r="D16" s="10">
        <f>16.121+0.4746</f>
        <v>16.595599999999997</v>
      </c>
      <c r="E16" s="9">
        <f t="shared" si="0"/>
        <v>8.2977999999999987</v>
      </c>
      <c r="F16" s="9">
        <f t="shared" si="1"/>
        <v>-183.40440000000001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2.35</v>
      </c>
      <c r="E17" s="9">
        <f t="shared" si="0"/>
        <v>78.333333333333329</v>
      </c>
      <c r="F17" s="5">
        <f t="shared" si="1"/>
        <v>-0.64999999999999991</v>
      </c>
    </row>
    <row r="18" spans="1:6" ht="17.25" customHeight="1">
      <c r="A18" s="7">
        <v>1080402001</v>
      </c>
      <c r="B18" s="8" t="s">
        <v>228</v>
      </c>
      <c r="C18" s="9">
        <v>3</v>
      </c>
      <c r="D18" s="10">
        <v>2.35</v>
      </c>
      <c r="E18" s="9">
        <f t="shared" si="0"/>
        <v>78.333333333333329</v>
      </c>
      <c r="F18" s="9">
        <f t="shared" si="1"/>
        <v>-0.64999999999999991</v>
      </c>
    </row>
    <row r="19" spans="1:6" ht="15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0</v>
      </c>
      <c r="E25" s="5">
        <f t="shared" si="0"/>
        <v>0</v>
      </c>
      <c r="F25" s="5">
        <f t="shared" si="1"/>
        <v>-56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0</v>
      </c>
      <c r="E26" s="5">
        <f t="shared" si="0"/>
        <v>0</v>
      </c>
      <c r="F26" s="5">
        <f t="shared" si="1"/>
        <v>-56</v>
      </c>
    </row>
    <row r="27" spans="1:6">
      <c r="A27" s="16">
        <v>1110502000</v>
      </c>
      <c r="B27" s="17" t="s">
        <v>226</v>
      </c>
      <c r="C27" s="12">
        <v>56</v>
      </c>
      <c r="D27" s="10">
        <v>0</v>
      </c>
      <c r="E27" s="9">
        <f t="shared" si="0"/>
        <v>0</v>
      </c>
      <c r="F27" s="9">
        <f t="shared" si="1"/>
        <v>-56</v>
      </c>
    </row>
    <row r="28" spans="1:6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3.25" customHeight="1">
      <c r="A34" s="3">
        <v>1170000000</v>
      </c>
      <c r="B34" s="13" t="s">
        <v>135</v>
      </c>
      <c r="C34" s="5">
        <v>0</v>
      </c>
      <c r="D34" s="5">
        <f>D35+D36</f>
        <v>0</v>
      </c>
      <c r="E34" s="9" t="e">
        <f t="shared" si="0"/>
        <v>#DIV/0!</v>
      </c>
      <c r="F34" s="5">
        <f t="shared" si="1"/>
        <v>0</v>
      </c>
    </row>
    <row r="35" spans="1:11" ht="27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8.75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572.89</v>
      </c>
      <c r="D37" s="127">
        <f>SUM(D4,D25)</f>
        <v>89.303939999999983</v>
      </c>
      <c r="E37" s="5">
        <f t="shared" si="0"/>
        <v>15.588322365550104</v>
      </c>
      <c r="F37" s="5">
        <f t="shared" si="1"/>
        <v>-483.58605999999997</v>
      </c>
    </row>
    <row r="38" spans="1:11" s="6" customFormat="1">
      <c r="A38" s="3">
        <v>2000000000</v>
      </c>
      <c r="B38" s="4" t="s">
        <v>20</v>
      </c>
      <c r="C38" s="5">
        <f>C39+C40+C41+C42+C43+C44</f>
        <v>2636.5209999999997</v>
      </c>
      <c r="D38" s="5">
        <f>D39+D40+D41+D42+D43+D45</f>
        <v>445.33540999999997</v>
      </c>
      <c r="E38" s="5">
        <f t="shared" si="0"/>
        <v>16.891024573671139</v>
      </c>
      <c r="F38" s="5">
        <f t="shared" si="1"/>
        <v>-2191.1855899999996</v>
      </c>
      <c r="G38" s="19"/>
    </row>
    <row r="39" spans="1:11">
      <c r="A39" s="16">
        <v>2021000000</v>
      </c>
      <c r="B39" s="17" t="s">
        <v>21</v>
      </c>
      <c r="C39" s="99">
        <f>1154.1+32.785</f>
        <v>1186.885</v>
      </c>
      <c r="D39" s="20">
        <v>384.78</v>
      </c>
      <c r="E39" s="9">
        <f t="shared" si="0"/>
        <v>32.419316108974328</v>
      </c>
      <c r="F39" s="9">
        <f t="shared" si="1"/>
        <v>-802.10500000000002</v>
      </c>
    </row>
    <row r="40" spans="1:11">
      <c r="A40" s="16">
        <v>2021500200</v>
      </c>
      <c r="B40" s="17" t="s">
        <v>232</v>
      </c>
      <c r="C40" s="12">
        <v>675</v>
      </c>
      <c r="D40" s="20">
        <v>45</v>
      </c>
      <c r="E40" s="9">
        <f>SUM(D40/C40*100)</f>
        <v>6.666666666666667</v>
      </c>
      <c r="F40" s="9">
        <f>SUM(D40-C40)</f>
        <v>-630</v>
      </c>
    </row>
    <row r="41" spans="1:11">
      <c r="A41" s="16">
        <v>2022000000</v>
      </c>
      <c r="B41" s="17" t="s">
        <v>22</v>
      </c>
      <c r="C41" s="12">
        <v>562.34</v>
      </c>
      <c r="D41" s="10">
        <v>0</v>
      </c>
      <c r="E41" s="9">
        <f t="shared" si="0"/>
        <v>0</v>
      </c>
      <c r="F41" s="9">
        <f t="shared" si="1"/>
        <v>-562.34</v>
      </c>
    </row>
    <row r="42" spans="1:11" ht="19.5" customHeight="1">
      <c r="A42" s="16">
        <v>2023000000</v>
      </c>
      <c r="B42" s="17" t="s">
        <v>23</v>
      </c>
      <c r="C42" s="12">
        <v>72.296000000000006</v>
      </c>
      <c r="D42" s="252">
        <v>17.722999999999999</v>
      </c>
      <c r="E42" s="9">
        <f t="shared" si="0"/>
        <v>24.514495961049018</v>
      </c>
      <c r="F42" s="9">
        <f t="shared" si="1"/>
        <v>-54.573000000000008</v>
      </c>
    </row>
    <row r="43" spans="1:11">
      <c r="A43" s="7">
        <v>2070500010</v>
      </c>
      <c r="B43" s="17" t="s">
        <v>368</v>
      </c>
      <c r="C43" s="12">
        <v>140</v>
      </c>
      <c r="D43" s="253">
        <v>0</v>
      </c>
      <c r="E43" s="9">
        <f t="shared" si="0"/>
        <v>0</v>
      </c>
      <c r="F43" s="9">
        <f t="shared" si="1"/>
        <v>-140</v>
      </c>
    </row>
    <row r="44" spans="1:11" ht="15.75" customHeight="1">
      <c r="A44" s="16">
        <v>2022999910</v>
      </c>
      <c r="B44" s="18" t="s">
        <v>352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11">
      <c r="A45" s="7">
        <v>2190000010</v>
      </c>
      <c r="B45" s="11" t="s">
        <v>26</v>
      </c>
      <c r="C45" s="380">
        <v>0</v>
      </c>
      <c r="D45" s="367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customHeight="1">
      <c r="A46" s="3">
        <v>3000000000</v>
      </c>
      <c r="B46" s="13" t="s">
        <v>27</v>
      </c>
      <c r="C46" s="381">
        <v>0</v>
      </c>
      <c r="D46" s="382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289">
        <f>C37+C38</f>
        <v>3209.4109999999996</v>
      </c>
      <c r="D47" s="362">
        <f>D37+D38</f>
        <v>534.63934999999992</v>
      </c>
      <c r="E47" s="5">
        <f t="shared" si="0"/>
        <v>16.658488115108973</v>
      </c>
      <c r="F47" s="5">
        <f t="shared" si="1"/>
        <v>-2674.7716499999997</v>
      </c>
      <c r="K47" s="130"/>
    </row>
    <row r="48" spans="1:11" s="6" customFormat="1">
      <c r="A48" s="3"/>
      <c r="B48" s="21" t="s">
        <v>322</v>
      </c>
      <c r="C48" s="289">
        <f>C47-C93</f>
        <v>-23.635540000000219</v>
      </c>
      <c r="D48" s="289">
        <f>D47-D93</f>
        <v>234.62049999999988</v>
      </c>
      <c r="E48" s="22"/>
      <c r="F48" s="22"/>
    </row>
    <row r="49" spans="1:6">
      <c r="A49" s="23"/>
      <c r="B49" s="24"/>
      <c r="C49" s="251"/>
      <c r="D49" s="251"/>
      <c r="E49" s="26"/>
      <c r="F49" s="92"/>
    </row>
    <row r="50" spans="1:6" ht="50.25" customHeight="1">
      <c r="A50" s="28" t="s">
        <v>1</v>
      </c>
      <c r="B50" s="28" t="s">
        <v>29</v>
      </c>
      <c r="C50" s="244" t="s">
        <v>346</v>
      </c>
      <c r="D50" s="245" t="s">
        <v>360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2.25" customHeight="1">
      <c r="A52" s="30" t="s">
        <v>30</v>
      </c>
      <c r="B52" s="31" t="s">
        <v>31</v>
      </c>
      <c r="C52" s="247">
        <f>C54+C57+C58+C59</f>
        <v>1058.924</v>
      </c>
      <c r="D52" s="32">
        <f>D54+D57+D58+D59</f>
        <v>211.62047000000001</v>
      </c>
      <c r="E52" s="34">
        <f>SUM(D52/C52*100)</f>
        <v>19.984481416985545</v>
      </c>
      <c r="F52" s="34">
        <f>SUM(D52-C52)</f>
        <v>-847.30352999999991</v>
      </c>
    </row>
    <row r="53" spans="1:6" s="6" customFormat="1" ht="31.5">
      <c r="A53" s="35" t="s">
        <v>32</v>
      </c>
      <c r="B53" s="36" t="s">
        <v>33</v>
      </c>
      <c r="C53" s="37"/>
      <c r="D53" s="37"/>
      <c r="E53" s="38"/>
      <c r="F53" s="38"/>
    </row>
    <row r="54" spans="1:6" ht="16.5" customHeight="1">
      <c r="A54" s="35" t="s">
        <v>34</v>
      </c>
      <c r="B54" s="39" t="s">
        <v>35</v>
      </c>
      <c r="C54" s="37">
        <v>1051.585</v>
      </c>
      <c r="D54" s="37">
        <v>211.62047000000001</v>
      </c>
      <c r="E54" s="38">
        <f>SUM(D54/C54*100)</f>
        <v>20.123952890161043</v>
      </c>
      <c r="F54" s="38">
        <f t="shared" ref="F54:F93" si="3">SUM(D54-C54)</f>
        <v>-839.96452999999997</v>
      </c>
    </row>
    <row r="55" spans="1:6" ht="16.5" customHeight="1">
      <c r="A55" s="35" t="s">
        <v>36</v>
      </c>
      <c r="B55" s="39" t="s">
        <v>37</v>
      </c>
      <c r="C55" s="37"/>
      <c r="D55" s="37"/>
      <c r="E55" s="38"/>
      <c r="F55" s="38">
        <f t="shared" si="3"/>
        <v>0</v>
      </c>
    </row>
    <row r="56" spans="1:6" ht="15.75" customHeight="1">
      <c r="A56" s="35" t="s">
        <v>38</v>
      </c>
      <c r="B56" s="39" t="s">
        <v>39</v>
      </c>
      <c r="C56" s="37"/>
      <c r="D56" s="37"/>
      <c r="E56" s="38" t="e">
        <f t="shared" ref="E56:E93" si="4">SUM(D56/C56*100)</f>
        <v>#DIV/0!</v>
      </c>
      <c r="F56" s="38">
        <f t="shared" si="3"/>
        <v>0</v>
      </c>
    </row>
    <row r="57" spans="1:6" ht="14.25" customHeight="1">
      <c r="A57" s="35" t="s">
        <v>40</v>
      </c>
      <c r="B57" s="39" t="s">
        <v>41</v>
      </c>
      <c r="C57" s="37">
        <v>0</v>
      </c>
      <c r="D57" s="37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0">
        <v>5</v>
      </c>
      <c r="D58" s="4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37">
        <v>2.339</v>
      </c>
      <c r="D59" s="37">
        <v>0</v>
      </c>
      <c r="E59" s="38">
        <f t="shared" si="4"/>
        <v>0</v>
      </c>
      <c r="F59" s="38">
        <f t="shared" si="3"/>
        <v>-2.339</v>
      </c>
    </row>
    <row r="60" spans="1:6" s="6" customFormat="1">
      <c r="A60" s="41" t="s">
        <v>46</v>
      </c>
      <c r="B60" s="42" t="s">
        <v>47</v>
      </c>
      <c r="C60" s="32">
        <f>C61</f>
        <v>70.596000000000004</v>
      </c>
      <c r="D60" s="32">
        <f>D61</f>
        <v>13.55072</v>
      </c>
      <c r="E60" s="34">
        <f t="shared" si="4"/>
        <v>19.194741911723042</v>
      </c>
      <c r="F60" s="34">
        <f t="shared" si="3"/>
        <v>-57.045280000000005</v>
      </c>
    </row>
    <row r="61" spans="1:6">
      <c r="A61" s="43" t="s">
        <v>48</v>
      </c>
      <c r="B61" s="44" t="s">
        <v>49</v>
      </c>
      <c r="C61" s="37">
        <v>70.596000000000004</v>
      </c>
      <c r="D61" s="37">
        <v>13.55072</v>
      </c>
      <c r="E61" s="38">
        <f t="shared" si="4"/>
        <v>19.194741911723042</v>
      </c>
      <c r="F61" s="38">
        <f t="shared" si="3"/>
        <v>-57.045280000000005</v>
      </c>
    </row>
    <row r="62" spans="1:6" s="6" customFormat="1" ht="17.25" customHeight="1">
      <c r="A62" s="30" t="s">
        <v>50</v>
      </c>
      <c r="B62" s="31" t="s">
        <v>51</v>
      </c>
      <c r="C62" s="32">
        <f>C65+C66</f>
        <v>4</v>
      </c>
      <c r="D62" s="32">
        <f>D65+D66</f>
        <v>0</v>
      </c>
      <c r="E62" s="34">
        <f t="shared" si="4"/>
        <v>0</v>
      </c>
      <c r="F62" s="34">
        <f t="shared" si="3"/>
        <v>-4</v>
      </c>
    </row>
    <row r="63" spans="1:6" ht="13.5" customHeight="1">
      <c r="A63" s="35" t="s">
        <v>52</v>
      </c>
      <c r="B63" s="39" t="s">
        <v>53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>
      <c r="A64" s="45" t="s">
        <v>54</v>
      </c>
      <c r="B64" s="39" t="s">
        <v>55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37">
        <v>3</v>
      </c>
      <c r="D65" s="37">
        <v>0</v>
      </c>
      <c r="E65" s="34">
        <f t="shared" si="4"/>
        <v>0</v>
      </c>
      <c r="F65" s="34">
        <f t="shared" si="3"/>
        <v>-3</v>
      </c>
    </row>
    <row r="66" spans="1:7" ht="15.75" customHeight="1">
      <c r="A66" s="46" t="s">
        <v>219</v>
      </c>
      <c r="B66" s="47" t="s">
        <v>220</v>
      </c>
      <c r="C66" s="37">
        <v>1</v>
      </c>
      <c r="D66" s="37">
        <v>0</v>
      </c>
      <c r="E66" s="38">
        <f t="shared" si="4"/>
        <v>0</v>
      </c>
      <c r="F66" s="38">
        <f t="shared" si="3"/>
        <v>-1</v>
      </c>
    </row>
    <row r="67" spans="1:7" s="6" customFormat="1">
      <c r="A67" s="30" t="s">
        <v>58</v>
      </c>
      <c r="B67" s="31" t="s">
        <v>59</v>
      </c>
      <c r="C67" s="48">
        <f>C70+C71+C68+C69</f>
        <v>979.41553999999996</v>
      </c>
      <c r="D67" s="48">
        <f>D70+D71+D68</f>
        <v>0</v>
      </c>
      <c r="E67" s="34">
        <f t="shared" si="4"/>
        <v>0</v>
      </c>
      <c r="F67" s="34">
        <f t="shared" si="3"/>
        <v>-979.41553999999996</v>
      </c>
    </row>
    <row r="68" spans="1:7" ht="15.75" customHeight="1">
      <c r="A68" s="35" t="s">
        <v>60</v>
      </c>
      <c r="B68" s="39" t="s">
        <v>61</v>
      </c>
      <c r="C68" s="49">
        <v>6.25</v>
      </c>
      <c r="D68" s="37">
        <v>0</v>
      </c>
      <c r="E68" s="38">
        <f t="shared" si="4"/>
        <v>0</v>
      </c>
      <c r="F68" s="38">
        <f t="shared" si="3"/>
        <v>-6.25</v>
      </c>
    </row>
    <row r="69" spans="1:7" s="6" customFormat="1" ht="15.75" customHeight="1">
      <c r="A69" s="35" t="s">
        <v>62</v>
      </c>
      <c r="B69" s="39" t="s">
        <v>63</v>
      </c>
      <c r="C69" s="49">
        <v>0</v>
      </c>
      <c r="D69" s="37">
        <v>0</v>
      </c>
      <c r="E69" s="38" t="e">
        <f t="shared" si="4"/>
        <v>#DIV/0!</v>
      </c>
      <c r="F69" s="38">
        <f t="shared" si="3"/>
        <v>0</v>
      </c>
      <c r="G69" s="50"/>
    </row>
    <row r="70" spans="1:7">
      <c r="A70" s="35" t="s">
        <v>64</v>
      </c>
      <c r="B70" s="39" t="s">
        <v>65</v>
      </c>
      <c r="C70" s="49">
        <v>973.16553999999996</v>
      </c>
      <c r="D70" s="37">
        <v>0</v>
      </c>
      <c r="E70" s="38">
        <f t="shared" si="4"/>
        <v>0</v>
      </c>
      <c r="F70" s="38">
        <f t="shared" si="3"/>
        <v>-973.16553999999996</v>
      </c>
    </row>
    <row r="71" spans="1:7">
      <c r="A71" s="35" t="s">
        <v>66</v>
      </c>
      <c r="B71" s="39" t="s">
        <v>67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</row>
    <row r="72" spans="1:7" s="6" customFormat="1">
      <c r="A72" s="30" t="s">
        <v>68</v>
      </c>
      <c r="B72" s="31" t="s">
        <v>69</v>
      </c>
      <c r="C72" s="32">
        <f>C75</f>
        <v>249.61099999999999</v>
      </c>
      <c r="D72" s="32">
        <f>D75</f>
        <v>13.707660000000001</v>
      </c>
      <c r="E72" s="34">
        <f t="shared" si="4"/>
        <v>5.4916089435161117</v>
      </c>
      <c r="F72" s="34">
        <f t="shared" si="3"/>
        <v>-235.90333999999999</v>
      </c>
    </row>
    <row r="73" spans="1:7">
      <c r="A73" s="35" t="s">
        <v>70</v>
      </c>
      <c r="B73" s="51" t="s">
        <v>71</v>
      </c>
      <c r="C73" s="37"/>
      <c r="D73" s="37"/>
      <c r="E73" s="38" t="e">
        <f t="shared" si="4"/>
        <v>#DIV/0!</v>
      </c>
      <c r="F73" s="38">
        <f t="shared" si="3"/>
        <v>0</v>
      </c>
    </row>
    <row r="74" spans="1:7">
      <c r="A74" s="35" t="s">
        <v>72</v>
      </c>
      <c r="B74" s="51" t="s">
        <v>73</v>
      </c>
      <c r="C74" s="37"/>
      <c r="D74" s="37"/>
      <c r="E74" s="38" t="e">
        <f t="shared" si="4"/>
        <v>#DIV/0!</v>
      </c>
      <c r="F74" s="38">
        <f t="shared" si="3"/>
        <v>0</v>
      </c>
    </row>
    <row r="75" spans="1:7">
      <c r="A75" s="35" t="s">
        <v>74</v>
      </c>
      <c r="B75" s="39" t="s">
        <v>75</v>
      </c>
      <c r="C75" s="37">
        <v>249.61099999999999</v>
      </c>
      <c r="D75" s="37">
        <v>13.707660000000001</v>
      </c>
      <c r="E75" s="38">
        <f t="shared" si="4"/>
        <v>5.4916089435161117</v>
      </c>
      <c r="F75" s="38">
        <f t="shared" si="3"/>
        <v>-235.90333999999999</v>
      </c>
    </row>
    <row r="76" spans="1:7" s="6" customFormat="1">
      <c r="A76" s="30" t="s">
        <v>86</v>
      </c>
      <c r="B76" s="31" t="s">
        <v>87</v>
      </c>
      <c r="C76" s="32">
        <f>C77</f>
        <v>865.5</v>
      </c>
      <c r="D76" s="32">
        <f>D77</f>
        <v>61.14</v>
      </c>
      <c r="E76" s="34">
        <f t="shared" si="4"/>
        <v>7.0641247833622192</v>
      </c>
      <c r="F76" s="34">
        <f t="shared" si="3"/>
        <v>-804.36</v>
      </c>
    </row>
    <row r="77" spans="1:7" ht="15" customHeight="1">
      <c r="A77" s="35" t="s">
        <v>88</v>
      </c>
      <c r="B77" s="39" t="s">
        <v>234</v>
      </c>
      <c r="C77" s="37">
        <v>865.5</v>
      </c>
      <c r="D77" s="37">
        <v>61.14</v>
      </c>
      <c r="E77" s="38">
        <f t="shared" si="4"/>
        <v>7.0641247833622192</v>
      </c>
      <c r="F77" s="38">
        <f t="shared" si="3"/>
        <v>-804.36</v>
      </c>
    </row>
    <row r="78" spans="1:7" s="6" customFormat="1" ht="16.5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6" ht="16.5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6" ht="16.5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6">
      <c r="A83" s="30" t="s">
        <v>95</v>
      </c>
      <c r="B83" s="31" t="s">
        <v>96</v>
      </c>
      <c r="C83" s="32">
        <f>C84</f>
        <v>5</v>
      </c>
      <c r="D83" s="32">
        <f>D84</f>
        <v>0</v>
      </c>
      <c r="E83" s="38">
        <f t="shared" si="4"/>
        <v>0</v>
      </c>
      <c r="F83" s="22">
        <f>F84+F85+F86+F87+F88</f>
        <v>-5</v>
      </c>
    </row>
    <row r="84" spans="1:6">
      <c r="A84" s="35" t="s">
        <v>97</v>
      </c>
      <c r="B84" s="39" t="s">
        <v>98</v>
      </c>
      <c r="C84" s="37">
        <v>5</v>
      </c>
      <c r="D84" s="37">
        <v>0</v>
      </c>
      <c r="E84" s="38">
        <v>0</v>
      </c>
      <c r="F84" s="38">
        <f>SUM(D84-C84)</f>
        <v>-5</v>
      </c>
    </row>
    <row r="85" spans="1:6" ht="15.75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6" ht="15.75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6" ht="15.75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6" ht="15.75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6" s="6" customFormat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6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6" ht="15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6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s="6" customFormat="1">
      <c r="A93" s="52"/>
      <c r="B93" s="57" t="s">
        <v>119</v>
      </c>
      <c r="C93" s="33">
        <f>C52+C60+C62+C67+C72+C76+C83</f>
        <v>3233.0465399999998</v>
      </c>
      <c r="D93" s="33">
        <f>D52+D60+D62+D67+D72+D76+D78+D83+D89</f>
        <v>300.01885000000004</v>
      </c>
      <c r="E93" s="128">
        <f t="shared" si="4"/>
        <v>9.2797566099991879</v>
      </c>
      <c r="F93" s="34">
        <f t="shared" si="3"/>
        <v>-2933.0276899999999</v>
      </c>
    </row>
    <row r="94" spans="1:6">
      <c r="C94" s="126"/>
      <c r="D94" s="101"/>
    </row>
    <row r="95" spans="1:6" s="65" customFormat="1" ht="16.5" customHeight="1">
      <c r="A95" s="63" t="s">
        <v>120</v>
      </c>
      <c r="B95" s="63"/>
      <c r="C95" s="250"/>
      <c r="D95" s="250"/>
    </row>
    <row r="96" spans="1:6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  <row r="141" hidden="1"/>
  </sheetData>
  <customSheetViews>
    <customSheetView guid="{A54C432C-6C68-4B53-A75C-446EB3A61B2B}" scale="70" showPageBreaks="1" hiddenRows="1" view="pageBreakPreview" topLeftCell="A49">
      <selection activeCell="B62" sqref="B62"/>
      <pageMargins left="0.75" right="0.75" top="0.18" bottom="0.17" header="0.5" footer="0.25"/>
      <pageSetup paperSize="9" scale="63" orientation="portrait" r:id="rId1"/>
      <headerFooter alignWithMargins="0"/>
    </customSheetView>
    <customSheetView guid="{5BFCA170-DEAE-4D2C-98A0-1E68B427AC01}" scale="70" showPageBreaks="1" hiddenRows="1" view="pageBreakPreview">
      <selection activeCell="C83" sqref="C83"/>
      <pageMargins left="0.75" right="0.75" top="0.18" bottom="0.17" header="0.5" footer="0.25"/>
      <pageSetup paperSize="9" scale="63" orientation="portrait" r:id="rId2"/>
      <headerFooter alignWithMargins="0"/>
    </customSheetView>
    <customSheetView guid="{42584DC0-1D41-4C93-9B38-C388E7B8DAC4}" scale="70" showPageBreaks="1" hiddenRows="1" view="pageBreakPreview">
      <selection activeCell="C141" sqref="C141:D141"/>
      <pageMargins left="0.75" right="0.75" top="0.18" bottom="0.17" header="0.5" footer="0.25"/>
      <pageSetup paperSize="9" scale="63" orientation="portrait" r:id="rId3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0.18" bottom="0.17" header="0.5" footer="0.25"/>
  <pageSetup paperSize="9" scale="63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G141"/>
  <sheetViews>
    <sheetView tabSelected="1" view="pageBreakPreview" topLeftCell="A43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0.85546875" style="62" customWidth="1"/>
    <col min="6" max="6" width="10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369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135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2639.2200000000003</v>
      </c>
      <c r="D4" s="5">
        <f>D5+D12+D14+D17+D7</f>
        <v>382.64463999999998</v>
      </c>
      <c r="E4" s="5">
        <f>SUM(D4/C4*100)</f>
        <v>14.498398769333361</v>
      </c>
      <c r="F4" s="5">
        <f>SUM(D4-C4)</f>
        <v>-2256.5753600000003</v>
      </c>
    </row>
    <row r="5" spans="1:6" s="6" customFormat="1">
      <c r="A5" s="68">
        <v>1010000000</v>
      </c>
      <c r="B5" s="67" t="s">
        <v>6</v>
      </c>
      <c r="C5" s="5">
        <f>C6</f>
        <v>482.9</v>
      </c>
      <c r="D5" s="5">
        <f>D6</f>
        <v>89.635199999999998</v>
      </c>
      <c r="E5" s="5">
        <f t="shared" ref="E5:E52" si="0">SUM(D5/C5*100)</f>
        <v>18.561855456616279</v>
      </c>
      <c r="F5" s="5">
        <f t="shared" ref="F5:F52" si="1">SUM(D5-C5)</f>
        <v>-393.26479999999998</v>
      </c>
    </row>
    <row r="6" spans="1:6">
      <c r="A6" s="7">
        <v>1010200001</v>
      </c>
      <c r="B6" s="8" t="s">
        <v>229</v>
      </c>
      <c r="C6" s="9">
        <v>482.9</v>
      </c>
      <c r="D6" s="10">
        <v>89.635199999999998</v>
      </c>
      <c r="E6" s="9">
        <f t="shared" ref="E6:E11" si="2">SUM(D6/C6*100)</f>
        <v>18.561855456616279</v>
      </c>
      <c r="F6" s="9">
        <f t="shared" si="1"/>
        <v>-393.26479999999998</v>
      </c>
    </row>
    <row r="7" spans="1:6" ht="31.5">
      <c r="A7" s="3">
        <v>1030000000</v>
      </c>
      <c r="B7" s="13" t="s">
        <v>281</v>
      </c>
      <c r="C7" s="5">
        <f>C8+C10+C9</f>
        <v>559.32000000000005</v>
      </c>
      <c r="D7" s="5">
        <f>D8+D10+D9+D11</f>
        <v>130.56317999999999</v>
      </c>
      <c r="E7" s="5">
        <f t="shared" si="2"/>
        <v>23.343198884359577</v>
      </c>
      <c r="F7" s="5">
        <f t="shared" si="1"/>
        <v>-428.75682000000006</v>
      </c>
    </row>
    <row r="8" spans="1:6">
      <c r="A8" s="7">
        <v>1030223001</v>
      </c>
      <c r="B8" s="8" t="s">
        <v>283</v>
      </c>
      <c r="C8" s="9">
        <v>208.63</v>
      </c>
      <c r="D8" s="10">
        <v>53.789900000000003</v>
      </c>
      <c r="E8" s="9">
        <f t="shared" si="2"/>
        <v>25.782437808560609</v>
      </c>
      <c r="F8" s="9">
        <f t="shared" si="1"/>
        <v>-154.84010000000001</v>
      </c>
    </row>
    <row r="9" spans="1:6">
      <c r="A9" s="7">
        <v>1030224001</v>
      </c>
      <c r="B9" s="8" t="s">
        <v>289</v>
      </c>
      <c r="C9" s="9">
        <v>2.2000000000000002</v>
      </c>
      <c r="D9" s="10">
        <v>0.36260999999999999</v>
      </c>
      <c r="E9" s="9">
        <f t="shared" si="2"/>
        <v>16.482272727272726</v>
      </c>
      <c r="F9" s="9">
        <f t="shared" si="1"/>
        <v>-1.8373900000000001</v>
      </c>
    </row>
    <row r="10" spans="1:6">
      <c r="A10" s="7">
        <v>1030225001</v>
      </c>
      <c r="B10" s="8" t="s">
        <v>282</v>
      </c>
      <c r="C10" s="9">
        <v>348.49</v>
      </c>
      <c r="D10" s="10">
        <v>87.619069999999994</v>
      </c>
      <c r="E10" s="9">
        <f t="shared" si="2"/>
        <v>25.142491893598091</v>
      </c>
      <c r="F10" s="9">
        <f t="shared" si="1"/>
        <v>-260.87093000000004</v>
      </c>
    </row>
    <row r="11" spans="1:6">
      <c r="A11" s="7">
        <v>1030226001</v>
      </c>
      <c r="B11" s="8" t="s">
        <v>291</v>
      </c>
      <c r="C11" s="9">
        <v>0</v>
      </c>
      <c r="D11" s="10">
        <v>-11.208399999999999</v>
      </c>
      <c r="E11" s="9" t="e">
        <f t="shared" si="2"/>
        <v>#DIV/0!</v>
      </c>
      <c r="F11" s="9">
        <f t="shared" si="1"/>
        <v>-11.208399999999999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23.3748</v>
      </c>
      <c r="E12" s="5">
        <f t="shared" si="0"/>
        <v>58.437000000000005</v>
      </c>
      <c r="F12" s="5">
        <f t="shared" si="1"/>
        <v>-16.6252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23.3748</v>
      </c>
      <c r="E13" s="9">
        <f t="shared" si="0"/>
        <v>58.437000000000005</v>
      </c>
      <c r="F13" s="9">
        <f t="shared" si="1"/>
        <v>-16.6252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1545</v>
      </c>
      <c r="D14" s="5">
        <f>D15+D16</f>
        <v>135.87145999999998</v>
      </c>
      <c r="E14" s="5">
        <f t="shared" si="0"/>
        <v>8.7942692556634299</v>
      </c>
      <c r="F14" s="5">
        <f t="shared" si="1"/>
        <v>-1409.1285399999999</v>
      </c>
    </row>
    <row r="15" spans="1:6" s="6" customFormat="1" ht="15.75" customHeight="1">
      <c r="A15" s="7">
        <v>1060100000</v>
      </c>
      <c r="B15" s="11" t="s">
        <v>9</v>
      </c>
      <c r="C15" s="9">
        <v>295</v>
      </c>
      <c r="D15" s="10">
        <f>17.86065+0.23418</f>
        <v>18.094829999999998</v>
      </c>
      <c r="E15" s="5">
        <f t="shared" si="0"/>
        <v>6.1338406779661003</v>
      </c>
      <c r="F15" s="9">
        <f>SUM(D15-C15)</f>
        <v>-276.90517</v>
      </c>
    </row>
    <row r="16" spans="1:6" ht="15" customHeight="1">
      <c r="A16" s="7">
        <v>1060600000</v>
      </c>
      <c r="B16" s="11" t="s">
        <v>8</v>
      </c>
      <c r="C16" s="9">
        <v>1250</v>
      </c>
      <c r="D16" s="10">
        <v>117.77663</v>
      </c>
      <c r="E16" s="5">
        <f t="shared" si="0"/>
        <v>9.4221303999999986</v>
      </c>
      <c r="F16" s="9">
        <f t="shared" si="1"/>
        <v>-1132.2233699999999</v>
      </c>
    </row>
    <row r="17" spans="1:6" s="6" customFormat="1" ht="18" customHeight="1">
      <c r="A17" s="3">
        <v>1080000000</v>
      </c>
      <c r="B17" s="4" t="s">
        <v>11</v>
      </c>
      <c r="C17" s="5">
        <f>C18</f>
        <v>12</v>
      </c>
      <c r="D17" s="5">
        <f>D18</f>
        <v>3.2</v>
      </c>
      <c r="E17" s="5">
        <f t="shared" si="0"/>
        <v>26.666666666666668</v>
      </c>
      <c r="F17" s="5">
        <f t="shared" si="1"/>
        <v>-8.8000000000000007</v>
      </c>
    </row>
    <row r="18" spans="1:6" ht="16.5" customHeight="1">
      <c r="A18" s="7">
        <v>1080400001</v>
      </c>
      <c r="B18" s="8" t="s">
        <v>228</v>
      </c>
      <c r="C18" s="9">
        <v>12</v>
      </c>
      <c r="D18" s="10">
        <v>3.2</v>
      </c>
      <c r="E18" s="9">
        <f t="shared" si="0"/>
        <v>26.666666666666668</v>
      </c>
      <c r="F18" s="9">
        <f t="shared" si="1"/>
        <v>-8.8000000000000007</v>
      </c>
    </row>
    <row r="19" spans="1:6" ht="30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8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7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.75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1.75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C26+C30+C32+C37+C35</f>
        <v>872</v>
      </c>
      <c r="D25" s="5">
        <f>D26+D30+D32+D35+D37</f>
        <v>524.01710000000003</v>
      </c>
      <c r="E25" s="5">
        <f t="shared" si="0"/>
        <v>60.093704128440372</v>
      </c>
      <c r="F25" s="5">
        <f t="shared" si="1"/>
        <v>-347.98289999999997</v>
      </c>
    </row>
    <row r="26" spans="1:6" s="6" customFormat="1" ht="30.75" customHeight="1">
      <c r="A26" s="68">
        <v>1110000000</v>
      </c>
      <c r="B26" s="69" t="s">
        <v>129</v>
      </c>
      <c r="C26" s="5">
        <f>C28+C29</f>
        <v>286</v>
      </c>
      <c r="D26" s="5">
        <f>D28+D29</f>
        <v>10.115</v>
      </c>
      <c r="E26" s="5">
        <f t="shared" si="0"/>
        <v>3.5367132867132867</v>
      </c>
      <c r="F26" s="5">
        <f t="shared" si="1"/>
        <v>-275.88499999999999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21" customHeight="1">
      <c r="A28" s="16">
        <v>1110502510</v>
      </c>
      <c r="B28" s="17" t="s">
        <v>328</v>
      </c>
      <c r="C28" s="12">
        <v>200</v>
      </c>
      <c r="D28" s="10">
        <v>0</v>
      </c>
      <c r="E28" s="9">
        <f t="shared" si="0"/>
        <v>0</v>
      </c>
      <c r="F28" s="9">
        <f t="shared" si="1"/>
        <v>-200</v>
      </c>
    </row>
    <row r="29" spans="1:6">
      <c r="A29" s="7">
        <v>1110503000</v>
      </c>
      <c r="B29" s="11" t="s">
        <v>225</v>
      </c>
      <c r="C29" s="12">
        <v>86</v>
      </c>
      <c r="D29" s="10">
        <v>10.115</v>
      </c>
      <c r="E29" s="9">
        <f>SUM(D29/C29*100)</f>
        <v>11.761627906976745</v>
      </c>
      <c r="F29" s="9">
        <f t="shared" si="1"/>
        <v>-75.885000000000005</v>
      </c>
    </row>
    <row r="30" spans="1:6" s="15" customFormat="1" ht="35.25" customHeight="1">
      <c r="A30" s="68">
        <v>1130000000</v>
      </c>
      <c r="B30" s="69" t="s">
        <v>131</v>
      </c>
      <c r="C30" s="5">
        <f>C31</f>
        <v>0</v>
      </c>
      <c r="D30" s="5">
        <f>D31</f>
        <v>39.902099999999997</v>
      </c>
      <c r="E30" s="5" t="e">
        <f t="shared" si="0"/>
        <v>#DIV/0!</v>
      </c>
      <c r="F30" s="5">
        <f t="shared" si="1"/>
        <v>39.902099999999997</v>
      </c>
    </row>
    <row r="31" spans="1:6" ht="23.25" customHeight="1">
      <c r="A31" s="7">
        <v>1130206005</v>
      </c>
      <c r="B31" s="8" t="s">
        <v>224</v>
      </c>
      <c r="C31" s="9">
        <v>0</v>
      </c>
      <c r="D31" s="10">
        <v>39.902099999999997</v>
      </c>
      <c r="E31" s="9" t="e">
        <f>SUM(D31/C31*100)</f>
        <v>#DIV/0!</v>
      </c>
      <c r="F31" s="9">
        <f t="shared" si="1"/>
        <v>39.902099999999997</v>
      </c>
    </row>
    <row r="32" spans="1:6" ht="17.25" customHeight="1">
      <c r="A32" s="70">
        <v>1140000000</v>
      </c>
      <c r="B32" s="71" t="s">
        <v>132</v>
      </c>
      <c r="C32" s="5">
        <f>C33+C34</f>
        <v>586</v>
      </c>
      <c r="D32" s="5">
        <f>D33+D34</f>
        <v>474</v>
      </c>
      <c r="E32" s="5">
        <f t="shared" si="0"/>
        <v>80.887372013651884</v>
      </c>
      <c r="F32" s="5">
        <f t="shared" si="1"/>
        <v>-112</v>
      </c>
    </row>
    <row r="33" spans="1:7" ht="27" customHeight="1">
      <c r="A33" s="16">
        <v>1140200000</v>
      </c>
      <c r="B33" s="18" t="s">
        <v>133</v>
      </c>
      <c r="C33" s="9">
        <v>586</v>
      </c>
      <c r="D33" s="10">
        <f>468.8+5.2</f>
        <v>474</v>
      </c>
      <c r="E33" s="9">
        <f t="shared" si="0"/>
        <v>80.887372013651884</v>
      </c>
      <c r="F33" s="9">
        <f t="shared" si="1"/>
        <v>-112</v>
      </c>
    </row>
    <row r="34" spans="1:7" ht="17.2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7.75" customHeight="1">
      <c r="A35" s="100">
        <v>1163305010</v>
      </c>
      <c r="B35" s="13" t="s">
        <v>252</v>
      </c>
      <c r="C35" s="5">
        <f>C36</f>
        <v>0</v>
      </c>
      <c r="D35" s="14">
        <f>D36</f>
        <v>0</v>
      </c>
      <c r="E35" s="9" t="e">
        <f t="shared" si="0"/>
        <v>#DIV/0!</v>
      </c>
      <c r="F35" s="9">
        <f t="shared" si="1"/>
        <v>0</v>
      </c>
    </row>
    <row r="36" spans="1:7" ht="33" customHeight="1">
      <c r="A36" s="7">
        <v>1163305010</v>
      </c>
      <c r="B36" s="8" t="s">
        <v>268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9.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9.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3511.2200000000003</v>
      </c>
      <c r="D40" s="127">
        <f>D4+D25</f>
        <v>906.66174000000001</v>
      </c>
      <c r="E40" s="5">
        <f t="shared" si="0"/>
        <v>25.821843689657726</v>
      </c>
      <c r="F40" s="5">
        <f t="shared" si="1"/>
        <v>-2604.5582600000002</v>
      </c>
    </row>
    <row r="41" spans="1:7" s="6" customFormat="1" ht="20.25" customHeight="1">
      <c r="A41" s="3">
        <v>2000000000</v>
      </c>
      <c r="B41" s="4" t="s">
        <v>20</v>
      </c>
      <c r="C41" s="5">
        <f>C42+C43+C44+C46+C47+C45+C48</f>
        <v>6554.5649999999996</v>
      </c>
      <c r="D41" s="5">
        <f>D42+D43+D44+D46+D47+D45+D48</f>
        <v>1622.58897</v>
      </c>
      <c r="E41" s="5">
        <f t="shared" si="0"/>
        <v>24.755097706712803</v>
      </c>
      <c r="F41" s="5">
        <f t="shared" si="1"/>
        <v>-4931.9760299999998</v>
      </c>
      <c r="G41" s="19"/>
    </row>
    <row r="42" spans="1:7" ht="16.5" customHeight="1">
      <c r="A42" s="16">
        <v>2021000000</v>
      </c>
      <c r="B42" s="17" t="s">
        <v>21</v>
      </c>
      <c r="C42" s="12">
        <f>3530.2+18.941</f>
        <v>3549.1409999999996</v>
      </c>
      <c r="D42" s="20">
        <v>1176.7280000000001</v>
      </c>
      <c r="E42" s="9">
        <f t="shared" si="0"/>
        <v>33.155290251922935</v>
      </c>
      <c r="F42" s="9">
        <f t="shared" si="1"/>
        <v>-2372.4129999999996</v>
      </c>
    </row>
    <row r="43" spans="1:7" ht="18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16.5" customHeight="1">
      <c r="A44" s="16">
        <v>2022000000</v>
      </c>
      <c r="B44" s="17" t="s">
        <v>22</v>
      </c>
      <c r="C44" s="12">
        <v>2442.54</v>
      </c>
      <c r="D44" s="10">
        <v>0</v>
      </c>
      <c r="E44" s="9">
        <f t="shared" si="0"/>
        <v>0</v>
      </c>
      <c r="F44" s="9">
        <f t="shared" si="1"/>
        <v>-2442.54</v>
      </c>
    </row>
    <row r="45" spans="1:7">
      <c r="A45" s="16">
        <v>2022999910</v>
      </c>
      <c r="B45" s="18" t="s">
        <v>352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>
      <c r="A46" s="16">
        <v>2023000000</v>
      </c>
      <c r="B46" s="17" t="s">
        <v>23</v>
      </c>
      <c r="C46" s="12">
        <v>153.28100000000001</v>
      </c>
      <c r="D46" s="252">
        <v>36.26</v>
      </c>
      <c r="E46" s="9">
        <f t="shared" si="0"/>
        <v>23.655899948460668</v>
      </c>
      <c r="F46" s="9">
        <f t="shared" si="1"/>
        <v>-117.02100000000002</v>
      </c>
    </row>
    <row r="47" spans="1:7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8.75" customHeight="1">
      <c r="A48" s="7">
        <v>2070500010</v>
      </c>
      <c r="B48" s="17" t="s">
        <v>353</v>
      </c>
      <c r="C48" s="12">
        <v>409.60300000000001</v>
      </c>
      <c r="D48" s="253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6" ht="47.25">
      <c r="A49" s="16">
        <v>2020900000</v>
      </c>
      <c r="B49" s="18" t="s">
        <v>25</v>
      </c>
      <c r="C49" s="12"/>
      <c r="D49" s="253"/>
      <c r="E49" s="9" t="e">
        <f t="shared" si="0"/>
        <v>#DIV/0!</v>
      </c>
      <c r="F49" s="9">
        <f t="shared" si="1"/>
        <v>0</v>
      </c>
    </row>
    <row r="50" spans="1:6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6" s="6" customFormat="1" ht="31.5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6" s="6" customFormat="1" ht="23.25" customHeight="1">
      <c r="A52" s="3"/>
      <c r="B52" s="4" t="s">
        <v>28</v>
      </c>
      <c r="C52" s="5">
        <f>SUM(C40,C41,C51)</f>
        <v>10065.785</v>
      </c>
      <c r="D52" s="363">
        <f>D40+D41</f>
        <v>2529.2507100000003</v>
      </c>
      <c r="E52" s="5">
        <f t="shared" si="0"/>
        <v>25.127207763726329</v>
      </c>
      <c r="F52" s="5">
        <f t="shared" si="1"/>
        <v>-7536.5342899999996</v>
      </c>
    </row>
    <row r="53" spans="1:6" s="6" customFormat="1">
      <c r="A53" s="3"/>
      <c r="B53" s="21" t="s">
        <v>321</v>
      </c>
      <c r="C53" s="5">
        <f>C52-C100</f>
        <v>-77.770549999999275</v>
      </c>
      <c r="D53" s="5">
        <f>D52-D100</f>
        <v>1084.1865800000003</v>
      </c>
      <c r="E53" s="22"/>
      <c r="F53" s="22"/>
    </row>
    <row r="54" spans="1:6" ht="32.25" customHeight="1">
      <c r="A54" s="23"/>
      <c r="B54" s="24"/>
      <c r="C54" s="115"/>
      <c r="D54" s="115"/>
      <c r="E54" s="26"/>
      <c r="F54" s="27"/>
    </row>
    <row r="55" spans="1:6" ht="63">
      <c r="A55" s="28" t="s">
        <v>1</v>
      </c>
      <c r="B55" s="28" t="s">
        <v>29</v>
      </c>
      <c r="C55" s="146" t="s">
        <v>346</v>
      </c>
      <c r="D55" s="147" t="s">
        <v>366</v>
      </c>
      <c r="E55" s="72" t="s">
        <v>3</v>
      </c>
      <c r="F55" s="74" t="s">
        <v>4</v>
      </c>
    </row>
    <row r="56" spans="1:6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6" s="6" customFormat="1">
      <c r="A57" s="30" t="s">
        <v>30</v>
      </c>
      <c r="B57" s="31" t="s">
        <v>31</v>
      </c>
      <c r="C57" s="102">
        <f>C58+C59+C60+C61+C62+C64+C63</f>
        <v>1844.548</v>
      </c>
      <c r="D57" s="102">
        <f>D58+D59+D60+D61+D62+D64+D63</f>
        <v>312.66962999999998</v>
      </c>
      <c r="E57" s="34">
        <f>SUM(D57/C57*100)</f>
        <v>16.951016183910635</v>
      </c>
      <c r="F57" s="34">
        <f>SUM(D57-C57)</f>
        <v>-1531.8783699999999</v>
      </c>
    </row>
    <row r="58" spans="1:6" s="6" customFormat="1" ht="31.5">
      <c r="A58" s="35" t="s">
        <v>32</v>
      </c>
      <c r="B58" s="36" t="s">
        <v>33</v>
      </c>
      <c r="C58" s="92"/>
      <c r="D58" s="92"/>
      <c r="E58" s="38"/>
      <c r="F58" s="38"/>
    </row>
    <row r="59" spans="1:6" ht="17.25" customHeight="1">
      <c r="A59" s="35" t="s">
        <v>34</v>
      </c>
      <c r="B59" s="39" t="s">
        <v>35</v>
      </c>
      <c r="C59" s="148">
        <v>1834.5409999999999</v>
      </c>
      <c r="D59" s="92">
        <v>312.66962999999998</v>
      </c>
      <c r="E59" s="38">
        <f t="shared" ref="E59:E100" si="3">SUM(D59/C59*100)</f>
        <v>17.043480085754421</v>
      </c>
      <c r="F59" s="38">
        <f t="shared" ref="F59:F100" si="4">SUM(D59-C59)</f>
        <v>-1521.8713699999998</v>
      </c>
    </row>
    <row r="60" spans="1:6" ht="12.75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6" ht="12.75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6" ht="16.5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6" ht="15.75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6" ht="18" customHeight="1">
      <c r="A64" s="35" t="s">
        <v>44</v>
      </c>
      <c r="B64" s="39" t="s">
        <v>45</v>
      </c>
      <c r="C64" s="92">
        <v>5.0069999999999997</v>
      </c>
      <c r="D64" s="92">
        <v>0</v>
      </c>
      <c r="E64" s="38">
        <f t="shared" si="3"/>
        <v>0</v>
      </c>
      <c r="F64" s="38">
        <f t="shared" si="4"/>
        <v>-5.0069999999999997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150.881</v>
      </c>
      <c r="D65" s="22">
        <f>D66</f>
        <v>29.512</v>
      </c>
      <c r="E65" s="34">
        <f t="shared" si="3"/>
        <v>19.559785526341951</v>
      </c>
      <c r="F65" s="34">
        <f t="shared" si="4"/>
        <v>-121.369</v>
      </c>
    </row>
    <row r="66" spans="1:7">
      <c r="A66" s="43" t="s">
        <v>48</v>
      </c>
      <c r="B66" s="44" t="s">
        <v>49</v>
      </c>
      <c r="C66" s="92">
        <v>150.881</v>
      </c>
      <c r="D66" s="92">
        <v>29.512</v>
      </c>
      <c r="E66" s="38">
        <f t="shared" si="3"/>
        <v>19.559785526341951</v>
      </c>
      <c r="F66" s="38">
        <f t="shared" si="4"/>
        <v>-121.369</v>
      </c>
    </row>
    <row r="67" spans="1:7" s="6" customFormat="1" ht="15.75" customHeight="1">
      <c r="A67" s="30" t="s">
        <v>50</v>
      </c>
      <c r="B67" s="31" t="s">
        <v>51</v>
      </c>
      <c r="C67" s="22">
        <f>C70+C71</f>
        <v>4</v>
      </c>
      <c r="D67" s="22">
        <f>D70+D71</f>
        <v>0</v>
      </c>
      <c r="E67" s="34">
        <f t="shared" si="3"/>
        <v>0</v>
      </c>
      <c r="F67" s="34">
        <f t="shared" si="4"/>
        <v>-4</v>
      </c>
    </row>
    <row r="68" spans="1:7" ht="14.25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0</v>
      </c>
      <c r="E70" s="34">
        <f t="shared" si="3"/>
        <v>0</v>
      </c>
      <c r="F70" s="34">
        <f t="shared" si="4"/>
        <v>-2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105">
        <f>C74+C75+C76+C73</f>
        <v>3292.2885499999998</v>
      </c>
      <c r="D72" s="105">
        <f>SUM(D73:D76)</f>
        <v>340.52048000000002</v>
      </c>
      <c r="E72" s="34">
        <f t="shared" si="3"/>
        <v>10.342971912349542</v>
      </c>
      <c r="F72" s="34">
        <f t="shared" si="4"/>
        <v>-2951.7680699999996</v>
      </c>
    </row>
    <row r="73" spans="1:7" ht="15.75" customHeight="1">
      <c r="A73" s="35" t="s">
        <v>60</v>
      </c>
      <c r="B73" s="39" t="s">
        <v>61</v>
      </c>
      <c r="C73" s="106">
        <f>2.4+6.35</f>
        <v>8.75</v>
      </c>
      <c r="D73" s="92">
        <v>0</v>
      </c>
      <c r="E73" s="38">
        <f t="shared" si="3"/>
        <v>0</v>
      </c>
      <c r="F73" s="38">
        <f t="shared" si="4"/>
        <v>-8.75</v>
      </c>
    </row>
    <row r="74" spans="1:7" s="6" customFormat="1" ht="19.5" customHeight="1">
      <c r="A74" s="35" t="s">
        <v>62</v>
      </c>
      <c r="B74" s="39" t="s">
        <v>63</v>
      </c>
      <c r="C74" s="106">
        <v>442.69299999999998</v>
      </c>
      <c r="D74" s="92">
        <v>227.05322000000001</v>
      </c>
      <c r="E74" s="38">
        <f t="shared" si="3"/>
        <v>51.289091989256661</v>
      </c>
      <c r="F74" s="38">
        <f t="shared" si="4"/>
        <v>-215.63977999999997</v>
      </c>
      <c r="G74" s="50"/>
    </row>
    <row r="75" spans="1:7">
      <c r="A75" s="35" t="s">
        <v>64</v>
      </c>
      <c r="B75" s="39" t="s">
        <v>65</v>
      </c>
      <c r="C75" s="106">
        <f>647.40955+2048.006</f>
        <v>2695.4155499999997</v>
      </c>
      <c r="D75" s="92">
        <v>76.967259999999996</v>
      </c>
      <c r="E75" s="38">
        <f t="shared" si="3"/>
        <v>2.8554877187675203</v>
      </c>
      <c r="F75" s="38">
        <f t="shared" si="4"/>
        <v>-2618.4482899999998</v>
      </c>
    </row>
    <row r="76" spans="1:7">
      <c r="A76" s="35" t="s">
        <v>66</v>
      </c>
      <c r="B76" s="39" t="s">
        <v>67</v>
      </c>
      <c r="C76" s="106">
        <v>145.43</v>
      </c>
      <c r="D76" s="92">
        <v>36.5</v>
      </c>
      <c r="E76" s="38">
        <f t="shared" si="3"/>
        <v>25.097985285016843</v>
      </c>
      <c r="F76" s="38">
        <f t="shared" si="4"/>
        <v>-108.93</v>
      </c>
    </row>
    <row r="77" spans="1:7" s="6" customFormat="1" ht="15.75" customHeight="1">
      <c r="A77" s="30" t="s">
        <v>68</v>
      </c>
      <c r="B77" s="31" t="s">
        <v>69</v>
      </c>
      <c r="C77" s="22">
        <f>SUM(C78:C81)</f>
        <v>1187.8699999999999</v>
      </c>
      <c r="D77" s="22">
        <f>SUM(D78:D81)</f>
        <v>120.56179</v>
      </c>
      <c r="E77" s="34">
        <f t="shared" si="3"/>
        <v>10.149409447161728</v>
      </c>
      <c r="F77" s="34">
        <f t="shared" si="4"/>
        <v>-1067.3082099999999</v>
      </c>
    </row>
    <row r="78" spans="1:7" ht="15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1187.8699999999999</v>
      </c>
      <c r="D80" s="92">
        <v>120.56179</v>
      </c>
      <c r="E80" s="38">
        <f t="shared" si="3"/>
        <v>10.149409447161728</v>
      </c>
      <c r="F80" s="38">
        <f t="shared" si="4"/>
        <v>-1067.3082099999999</v>
      </c>
    </row>
    <row r="81" spans="1:6" ht="18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8" customHeight="1">
      <c r="A82" s="30" t="s">
        <v>86</v>
      </c>
      <c r="B82" s="31" t="s">
        <v>87</v>
      </c>
      <c r="C82" s="22">
        <f>C83+C84</f>
        <v>3643.9679999999998</v>
      </c>
      <c r="D82" s="22">
        <f>D83+D84</f>
        <v>629.37522999999999</v>
      </c>
      <c r="E82" s="34">
        <f t="shared" si="3"/>
        <v>17.271700245446723</v>
      </c>
      <c r="F82" s="34">
        <f t="shared" si="4"/>
        <v>-3014.5927699999997</v>
      </c>
    </row>
    <row r="83" spans="1:6" ht="17.25" customHeight="1">
      <c r="A83" s="35" t="s">
        <v>88</v>
      </c>
      <c r="B83" s="39" t="s">
        <v>234</v>
      </c>
      <c r="C83" s="92">
        <v>3643.9679999999998</v>
      </c>
      <c r="D83" s="92">
        <v>629.37522999999999</v>
      </c>
      <c r="E83" s="38">
        <f t="shared" si="3"/>
        <v>17.271700245446723</v>
      </c>
      <c r="F83" s="38">
        <f t="shared" si="4"/>
        <v>-3014.5927699999997</v>
      </c>
    </row>
    <row r="84" spans="1:6" ht="2.25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15" customHeight="1">
      <c r="A85" s="52">
        <v>1000</v>
      </c>
      <c r="B85" s="31" t="s">
        <v>89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" customHeight="1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t="17.25" customHeight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t="14.25" customHeight="1">
      <c r="A88" s="53">
        <v>1004</v>
      </c>
      <c r="B88" s="54" t="s">
        <v>92</v>
      </c>
      <c r="C88" s="92"/>
      <c r="D88" s="283"/>
      <c r="E88" s="34" t="e">
        <f t="shared" si="3"/>
        <v>#DIV/0!</v>
      </c>
      <c r="F88" s="38">
        <f t="shared" si="4"/>
        <v>0</v>
      </c>
    </row>
    <row r="89" spans="1:6" ht="15.75" customHeight="1">
      <c r="A89" s="35" t="s">
        <v>93</v>
      </c>
      <c r="B89" s="39" t="s">
        <v>94</v>
      </c>
      <c r="C89" s="92"/>
      <c r="D89" s="92"/>
      <c r="E89" s="38" t="e">
        <f t="shared" si="3"/>
        <v>#DIV/0!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12.425000000000001</v>
      </c>
      <c r="E90" s="34">
        <f t="shared" si="3"/>
        <v>62.125000000000007</v>
      </c>
      <c r="F90" s="22">
        <f>F91+F92+F93+F94+F95</f>
        <v>-7.5749999999999993</v>
      </c>
    </row>
    <row r="91" spans="1:6" ht="16.5" customHeight="1">
      <c r="A91" s="35" t="s">
        <v>97</v>
      </c>
      <c r="B91" s="39" t="s">
        <v>98</v>
      </c>
      <c r="C91" s="92">
        <v>20</v>
      </c>
      <c r="D91" s="92">
        <v>12.425000000000001</v>
      </c>
      <c r="E91" s="38">
        <f t="shared" si="3"/>
        <v>62.125000000000007</v>
      </c>
      <c r="F91" s="38">
        <f>SUM(D91-C91)</f>
        <v>-7.5749999999999993</v>
      </c>
    </row>
    <row r="92" spans="1:6" ht="15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customHeight="1">
      <c r="A95" s="35" t="s">
        <v>105</v>
      </c>
      <c r="B95" s="39" t="s">
        <v>106</v>
      </c>
      <c r="C95" s="241"/>
      <c r="D95" s="92"/>
      <c r="E95" s="38" t="e">
        <f t="shared" si="3"/>
        <v>#DIV/0!</v>
      </c>
      <c r="F95" s="38"/>
    </row>
    <row r="96" spans="1:6" s="6" customFormat="1" ht="18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6" ht="16.5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20.25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13.5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s="6" customFormat="1" ht="15" customHeight="1">
      <c r="A100" s="52"/>
      <c r="B100" s="57" t="s">
        <v>119</v>
      </c>
      <c r="C100" s="102">
        <f>C57+C65+C67+C72+C77+C82+C90+C85+C96</f>
        <v>10143.555549999999</v>
      </c>
      <c r="D100" s="102">
        <f>D57+D65+D67+D72+D77+D82+D90+D85+D96</f>
        <v>1445.06413</v>
      </c>
      <c r="E100" s="34">
        <f t="shared" si="3"/>
        <v>14.246130194456322</v>
      </c>
      <c r="F100" s="34">
        <f t="shared" si="4"/>
        <v>-8698.4914199999985</v>
      </c>
    </row>
    <row r="101" spans="1:6" ht="5.25" customHeight="1">
      <c r="D101" s="61"/>
    </row>
    <row r="102" spans="1:6" s="65" customFormat="1" ht="12.75">
      <c r="A102" s="63" t="s">
        <v>120</v>
      </c>
      <c r="B102" s="63"/>
      <c r="C102" s="133"/>
      <c r="D102" s="64"/>
    </row>
    <row r="103" spans="1:6" s="65" customFormat="1" ht="12.75">
      <c r="A103" s="66" t="s">
        <v>121</v>
      </c>
      <c r="B103" s="66"/>
      <c r="C103" s="133" t="s">
        <v>122</v>
      </c>
    </row>
    <row r="141" hidden="1"/>
  </sheetData>
  <customSheetViews>
    <customSheetView guid="{A54C432C-6C68-4B53-A75C-446EB3A61B2B}" scale="70" showPageBreaks="1" hiddenRows="1" view="pageBreakPreview" topLeftCell="A36">
      <selection activeCell="C141" sqref="C141:D141"/>
      <pageMargins left="0.75" right="0.75" top="1" bottom="1" header="0.5" footer="0.5"/>
      <pageSetup paperSize="9" scale="49" orientation="portrait" r:id="rId1"/>
      <headerFooter alignWithMargins="0"/>
    </customSheetView>
    <customSheetView guid="{5BFCA170-DEAE-4D2C-98A0-1E68B427AC01}" scale="70" showPageBreaks="1" hiddenRows="1" view="pageBreakPreview" topLeftCell="A43">
      <selection activeCell="C75" sqref="C75"/>
      <pageMargins left="0.75" right="0.75" top="1" bottom="1" header="0.5" footer="0.5"/>
      <pageSetup paperSize="9" scale="49" orientation="portrait" r:id="rId2"/>
      <headerFooter alignWithMargins="0"/>
    </customSheetView>
    <customSheetView guid="{42584DC0-1D41-4C93-9B38-C388E7B8DAC4}" scale="70" showPageBreaks="1" hiddenRows="1" view="pageBreakPreview" topLeftCell="A43">
      <selection activeCell="C141" sqref="C141:D141"/>
      <pageMargins left="0.75" right="0.75" top="1" bottom="1" header="0.5" footer="0.5"/>
      <pageSetup paperSize="9" scale="49" orientation="portrait" r:id="rId3"/>
      <headerFooter alignWithMargins="0"/>
    </customSheetView>
  </customSheetViews>
  <mergeCells count="2">
    <mergeCell ref="A1:F1"/>
    <mergeCell ref="A2:F2"/>
  </mergeCells>
  <phoneticPr fontId="0" type="noConversion"/>
  <pageMargins left="0.75" right="0.75" top="1" bottom="1" header="0.5" footer="0.5"/>
  <pageSetup paperSize="9" scale="49" orientation="portrait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383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1589.85</v>
      </c>
      <c r="D4" s="5">
        <f>D5+D12+D14+D17+D7</f>
        <v>238.97217000000001</v>
      </c>
      <c r="E4" s="5">
        <f>SUM(D4/C4*100)</f>
        <v>15.031114256061894</v>
      </c>
      <c r="F4" s="5">
        <f>SUM(D4-C4)</f>
        <v>-1350.8778299999999</v>
      </c>
    </row>
    <row r="5" spans="1:6" s="6" customFormat="1">
      <c r="A5" s="68">
        <v>1010000000</v>
      </c>
      <c r="B5" s="67" t="s">
        <v>6</v>
      </c>
      <c r="C5" s="5">
        <f>C6</f>
        <v>82.1</v>
      </c>
      <c r="D5" s="5">
        <f>D6</f>
        <v>24.897929999999999</v>
      </c>
      <c r="E5" s="5">
        <f t="shared" ref="E5:E51" si="0">SUM(D5/C5*100)</f>
        <v>30.326345919610233</v>
      </c>
      <c r="F5" s="5">
        <f t="shared" ref="F5:F51" si="1">SUM(D5-C5)</f>
        <v>-57.202069999999992</v>
      </c>
    </row>
    <row r="6" spans="1:6">
      <c r="A6" s="7">
        <v>1010200001</v>
      </c>
      <c r="B6" s="8" t="s">
        <v>229</v>
      </c>
      <c r="C6" s="9">
        <v>82.1</v>
      </c>
      <c r="D6" s="10">
        <v>24.897929999999999</v>
      </c>
      <c r="E6" s="9">
        <f t="shared" ref="E6:E11" si="2">SUM(D6/C6*100)</f>
        <v>30.326345919610233</v>
      </c>
      <c r="F6" s="9">
        <f t="shared" si="1"/>
        <v>-57.202069999999992</v>
      </c>
    </row>
    <row r="7" spans="1:6" ht="31.5">
      <c r="A7" s="3">
        <v>1030000000</v>
      </c>
      <c r="B7" s="13" t="s">
        <v>281</v>
      </c>
      <c r="C7" s="5">
        <f>C8+C10+C9</f>
        <v>597.75</v>
      </c>
      <c r="D7" s="5">
        <f>D8+D10+D9+D11</f>
        <v>139.53316000000001</v>
      </c>
      <c r="E7" s="9">
        <f t="shared" si="2"/>
        <v>23.343063153492263</v>
      </c>
      <c r="F7" s="9">
        <f t="shared" si="1"/>
        <v>-458.21683999999999</v>
      </c>
    </row>
    <row r="8" spans="1:6">
      <c r="A8" s="7">
        <v>1030223001</v>
      </c>
      <c r="B8" s="8" t="s">
        <v>283</v>
      </c>
      <c r="C8" s="9">
        <v>222.96</v>
      </c>
      <c r="D8" s="10">
        <v>57.485390000000002</v>
      </c>
      <c r="E8" s="9">
        <f t="shared" si="2"/>
        <v>25.782826515966988</v>
      </c>
      <c r="F8" s="9">
        <f t="shared" si="1"/>
        <v>-165.47461000000001</v>
      </c>
    </row>
    <row r="9" spans="1:6">
      <c r="A9" s="7">
        <v>1030224001</v>
      </c>
      <c r="B9" s="8" t="s">
        <v>289</v>
      </c>
      <c r="C9" s="9">
        <v>2.4</v>
      </c>
      <c r="D9" s="10">
        <v>0.38754</v>
      </c>
      <c r="E9" s="9">
        <f t="shared" si="2"/>
        <v>16.147500000000001</v>
      </c>
      <c r="F9" s="9">
        <f t="shared" si="1"/>
        <v>-2.0124599999999999</v>
      </c>
    </row>
    <row r="10" spans="1:6">
      <c r="A10" s="7">
        <v>1030225001</v>
      </c>
      <c r="B10" s="8" t="s">
        <v>282</v>
      </c>
      <c r="C10" s="9">
        <v>372.39</v>
      </c>
      <c r="D10" s="10">
        <v>93.638670000000005</v>
      </c>
      <c r="E10" s="9">
        <f t="shared" si="2"/>
        <v>25.145323451220499</v>
      </c>
      <c r="F10" s="9">
        <f t="shared" si="1"/>
        <v>-278.75133</v>
      </c>
    </row>
    <row r="11" spans="1:6">
      <c r="A11" s="7">
        <v>1030226001</v>
      </c>
      <c r="B11" s="8" t="s">
        <v>291</v>
      </c>
      <c r="C11" s="9">
        <v>0</v>
      </c>
      <c r="D11" s="10">
        <v>-11.978440000000001</v>
      </c>
      <c r="E11" s="9" t="e">
        <f t="shared" si="2"/>
        <v>#DIV/0!</v>
      </c>
      <c r="F11" s="9">
        <f t="shared" si="1"/>
        <v>-11.978440000000001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0.1452</v>
      </c>
      <c r="E12" s="5">
        <f t="shared" si="0"/>
        <v>1.452</v>
      </c>
      <c r="F12" s="5">
        <f t="shared" si="1"/>
        <v>-9.8548000000000009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0.1452</v>
      </c>
      <c r="E13" s="9">
        <f t="shared" si="0"/>
        <v>1.452</v>
      </c>
      <c r="F13" s="9">
        <f t="shared" si="1"/>
        <v>-9.8548000000000009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895</v>
      </c>
      <c r="D14" s="5">
        <f>D15+D16</f>
        <v>74.395880000000005</v>
      </c>
      <c r="E14" s="5">
        <f t="shared" si="0"/>
        <v>8.3123888268156438</v>
      </c>
      <c r="F14" s="5">
        <f t="shared" si="1"/>
        <v>-820.60411999999997</v>
      </c>
    </row>
    <row r="15" spans="1:6" s="6" customFormat="1" ht="15.75" customHeight="1">
      <c r="A15" s="7">
        <v>1060100000</v>
      </c>
      <c r="B15" s="11" t="s">
        <v>9</v>
      </c>
      <c r="C15" s="9">
        <v>110</v>
      </c>
      <c r="D15" s="10">
        <f>21.26504+0.49687</f>
        <v>21.76191</v>
      </c>
      <c r="E15" s="9">
        <f t="shared" si="0"/>
        <v>19.783554545454546</v>
      </c>
      <c r="F15" s="9">
        <f>SUM(D15-C15)</f>
        <v>-88.23809</v>
      </c>
    </row>
    <row r="16" spans="1:6" ht="15.75" customHeight="1">
      <c r="A16" s="7">
        <v>1060600000</v>
      </c>
      <c r="B16" s="11" t="s">
        <v>8</v>
      </c>
      <c r="C16" s="9">
        <v>785</v>
      </c>
      <c r="D16" s="10">
        <f>6.995+0.00064+44.44386+1.19447</f>
        <v>52.633970000000005</v>
      </c>
      <c r="E16" s="9">
        <f t="shared" si="0"/>
        <v>6.7049643312101921</v>
      </c>
      <c r="F16" s="9">
        <f t="shared" si="1"/>
        <v>-732.36603000000002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</v>
      </c>
      <c r="E17" s="5">
        <f t="shared" si="0"/>
        <v>0</v>
      </c>
      <c r="F17" s="5">
        <f t="shared" si="1"/>
        <v>-5</v>
      </c>
    </row>
    <row r="18" spans="1:6" ht="17.25" customHeight="1">
      <c r="A18" s="7">
        <v>1080400001</v>
      </c>
      <c r="B18" s="8" t="s">
        <v>228</v>
      </c>
      <c r="C18" s="9">
        <v>5</v>
      </c>
      <c r="D18" s="10">
        <v>0</v>
      </c>
      <c r="E18" s="9">
        <f t="shared" si="0"/>
        <v>0</v>
      </c>
      <c r="F18" s="9">
        <f t="shared" si="1"/>
        <v>-5</v>
      </c>
    </row>
    <row r="19" spans="1:6" ht="0.7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5">
        <f>D26+D30+D32+D37+D35</f>
        <v>7.6504500000000002</v>
      </c>
      <c r="E25" s="5">
        <f t="shared" si="0"/>
        <v>6.375375</v>
      </c>
      <c r="F25" s="5">
        <f t="shared" si="1"/>
        <v>-112.34954999999999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5">
        <f>D28+D29</f>
        <v>7.6504500000000002</v>
      </c>
      <c r="E26" s="5">
        <f t="shared" si="0"/>
        <v>6.375375</v>
      </c>
      <c r="F26" s="5">
        <f t="shared" si="1"/>
        <v>-112.34954999999999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10">
        <v>0</v>
      </c>
      <c r="E28" s="9">
        <f t="shared" si="0"/>
        <v>0</v>
      </c>
      <c r="F28" s="9">
        <f t="shared" si="1"/>
        <v>-100</v>
      </c>
    </row>
    <row r="29" spans="1:6" ht="15" customHeight="1">
      <c r="A29" s="7">
        <v>1110503505</v>
      </c>
      <c r="B29" s="11" t="s">
        <v>225</v>
      </c>
      <c r="C29" s="12">
        <v>20</v>
      </c>
      <c r="D29" s="10">
        <v>7.6504500000000002</v>
      </c>
      <c r="E29" s="9">
        <f t="shared" si="0"/>
        <v>38.252249999999997</v>
      </c>
      <c r="F29" s="9">
        <f t="shared" si="1"/>
        <v>-12.349550000000001</v>
      </c>
    </row>
    <row r="30" spans="1:6" s="15" customFormat="1" ht="15.75" customHeight="1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>
      <c r="A31" s="7">
        <v>1130305005</v>
      </c>
      <c r="B31" s="8" t="s">
        <v>15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70">
        <v>1140000000</v>
      </c>
      <c r="B32" s="71" t="s">
        <v>132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6.5" customHeight="1">
      <c r="A35" s="3">
        <v>1160000000</v>
      </c>
      <c r="B35" s="13" t="s">
        <v>252</v>
      </c>
      <c r="C35" s="5">
        <f>C36</f>
        <v>0</v>
      </c>
      <c r="D35" s="5">
        <f>D36</f>
        <v>0</v>
      </c>
      <c r="E35" s="5" t="e">
        <f t="shared" si="0"/>
        <v>#DIV/0!</v>
      </c>
      <c r="F35" s="5">
        <f t="shared" si="1"/>
        <v>0</v>
      </c>
    </row>
    <row r="36" spans="1:7" ht="52.5" customHeight="1">
      <c r="A36" s="7">
        <v>1169005010</v>
      </c>
      <c r="B36" s="8" t="s">
        <v>323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1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7.25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1709.85</v>
      </c>
      <c r="D40" s="127">
        <f>D4+D25</f>
        <v>246.62262000000001</v>
      </c>
      <c r="E40" s="5">
        <f t="shared" si="0"/>
        <v>14.423640670234233</v>
      </c>
      <c r="F40" s="5">
        <f t="shared" si="1"/>
        <v>-1463.2273799999998</v>
      </c>
    </row>
    <row r="41" spans="1:7" s="6" customFormat="1">
      <c r="A41" s="3">
        <v>2000000000</v>
      </c>
      <c r="B41" s="4" t="s">
        <v>20</v>
      </c>
      <c r="C41" s="5">
        <f>C42+C44+C46+C47+C48+C49+C43+C45</f>
        <v>9080.9383900000012</v>
      </c>
      <c r="D41" s="5">
        <f>D42+D44+D46+D47+D48+D49+D43</f>
        <v>709.024</v>
      </c>
      <c r="E41" s="5">
        <f t="shared" si="0"/>
        <v>7.8078274463439001</v>
      </c>
      <c r="F41" s="5">
        <f t="shared" si="1"/>
        <v>-8371.9143900000017</v>
      </c>
      <c r="G41" s="19"/>
    </row>
    <row r="42" spans="1:7">
      <c r="A42" s="16">
        <v>2021000000</v>
      </c>
      <c r="B42" s="17" t="s">
        <v>21</v>
      </c>
      <c r="C42" s="99">
        <f>1943.3+14.401</f>
        <v>1957.701</v>
      </c>
      <c r="D42" s="20">
        <v>647.76400000000001</v>
      </c>
      <c r="E42" s="9">
        <f t="shared" si="0"/>
        <v>33.08799454053505</v>
      </c>
      <c r="F42" s="9">
        <f t="shared" si="1"/>
        <v>-1309.9369999999999</v>
      </c>
    </row>
    <row r="43" spans="1:7">
      <c r="A43" s="16">
        <v>2021500200</v>
      </c>
      <c r="B43" s="17" t="s">
        <v>232</v>
      </c>
      <c r="C43" s="12">
        <v>320</v>
      </c>
      <c r="D43" s="20">
        <v>25</v>
      </c>
      <c r="E43" s="9">
        <f t="shared" si="0"/>
        <v>7.8125</v>
      </c>
      <c r="F43" s="9">
        <f t="shared" si="1"/>
        <v>-295</v>
      </c>
    </row>
    <row r="44" spans="1:7" ht="18" customHeight="1">
      <c r="A44" s="16">
        <v>2022000000</v>
      </c>
      <c r="B44" s="17" t="s">
        <v>22</v>
      </c>
      <c r="C44" s="12">
        <v>6649.9563900000003</v>
      </c>
      <c r="D44" s="10">
        <v>0</v>
      </c>
      <c r="E44" s="9">
        <f t="shared" si="0"/>
        <v>0</v>
      </c>
      <c r="F44" s="9">
        <f t="shared" si="1"/>
        <v>-6649.9563900000003</v>
      </c>
    </row>
    <row r="45" spans="1:7">
      <c r="A45" s="16">
        <v>2022999910</v>
      </c>
      <c r="B45" s="18" t="s">
        <v>352</v>
      </c>
      <c r="C45" s="12"/>
      <c r="D45" s="10">
        <v>0</v>
      </c>
      <c r="E45" s="9" t="e">
        <f>SUM(D45/C45*100)</f>
        <v>#DIV/0!</v>
      </c>
      <c r="F45" s="9">
        <f>SUM(D45-C45)</f>
        <v>0</v>
      </c>
    </row>
    <row r="46" spans="1:7" ht="18.75" customHeight="1">
      <c r="A46" s="16">
        <v>2023000000</v>
      </c>
      <c r="B46" s="17" t="s">
        <v>23</v>
      </c>
      <c r="C46" s="12">
        <v>153.28100000000001</v>
      </c>
      <c r="D46" s="252">
        <v>36.26</v>
      </c>
      <c r="E46" s="9">
        <f>SUM(D46/C46*100)</f>
        <v>23.655899948460668</v>
      </c>
      <c r="F46" s="9">
        <f>SUM(D46-C46)</f>
        <v>-117.02100000000002</v>
      </c>
    </row>
    <row r="47" spans="1:7" ht="25.5" customHeight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30" customHeight="1">
      <c r="A48" s="16">
        <v>2020900000</v>
      </c>
      <c r="B48" s="18" t="s">
        <v>25</v>
      </c>
      <c r="C48" s="12">
        <v>0</v>
      </c>
      <c r="D48" s="253">
        <v>0</v>
      </c>
      <c r="E48" s="9" t="e">
        <f t="shared" si="0"/>
        <v>#DIV/0!</v>
      </c>
      <c r="F48" s="9">
        <f t="shared" si="1"/>
        <v>0</v>
      </c>
    </row>
    <row r="49" spans="1:6" ht="25.5" customHeight="1">
      <c r="A49" s="7">
        <v>2190500005</v>
      </c>
      <c r="B49" s="11" t="s">
        <v>26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6" s="6" customFormat="1" ht="0.75" customHeight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6" s="6" customFormat="1" ht="23.25" customHeight="1">
      <c r="A51" s="3"/>
      <c r="B51" s="4" t="s">
        <v>28</v>
      </c>
      <c r="C51" s="5">
        <f>C40+C41</f>
        <v>10790.788390000002</v>
      </c>
      <c r="D51" s="363">
        <f>D40+D41</f>
        <v>955.64661999999998</v>
      </c>
      <c r="E51" s="5">
        <f t="shared" si="0"/>
        <v>8.8561334488369106</v>
      </c>
      <c r="F51" s="5">
        <f t="shared" si="1"/>
        <v>-9835.141770000002</v>
      </c>
    </row>
    <row r="52" spans="1:6" s="6" customFormat="1">
      <c r="A52" s="3"/>
      <c r="B52" s="21" t="s">
        <v>321</v>
      </c>
      <c r="C52" s="5">
        <f>C51-C99</f>
        <v>-110.81861999999819</v>
      </c>
      <c r="D52" s="5">
        <f>D51-D99</f>
        <v>104.03102000000001</v>
      </c>
      <c r="E52" s="22"/>
      <c r="F52" s="22"/>
    </row>
    <row r="53" spans="1:6" ht="32.25" customHeight="1">
      <c r="A53" s="23"/>
      <c r="B53" s="24"/>
      <c r="C53" s="248"/>
      <c r="D53" s="25"/>
      <c r="E53" s="26"/>
      <c r="F53" s="27"/>
    </row>
    <row r="54" spans="1:6" ht="63">
      <c r="A54" s="28" t="s">
        <v>1</v>
      </c>
      <c r="B54" s="28" t="s">
        <v>29</v>
      </c>
      <c r="C54" s="72" t="s">
        <v>346</v>
      </c>
      <c r="D54" s="73" t="s">
        <v>360</v>
      </c>
      <c r="E54" s="72" t="s">
        <v>3</v>
      </c>
      <c r="F54" s="74" t="s">
        <v>4</v>
      </c>
    </row>
    <row r="55" spans="1:6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6" s="6" customFormat="1">
      <c r="A56" s="30" t="s">
        <v>30</v>
      </c>
      <c r="B56" s="31" t="s">
        <v>31</v>
      </c>
      <c r="C56" s="32">
        <f>C57+C58+C59+C60+C61+C63+C62</f>
        <v>1385.3010000000002</v>
      </c>
      <c r="D56" s="33">
        <f>D57+D58+D59+D60+D61+D63+D62</f>
        <v>296.25391000000002</v>
      </c>
      <c r="E56" s="34">
        <f>SUM(D56/C56*100)</f>
        <v>21.385526322438228</v>
      </c>
      <c r="F56" s="34">
        <f>SUM(D56-C56)</f>
        <v>-1089.04709</v>
      </c>
    </row>
    <row r="57" spans="1:6" s="6" customFormat="1" ht="16.5" customHeight="1">
      <c r="A57" s="35" t="s">
        <v>32</v>
      </c>
      <c r="B57" s="36" t="s">
        <v>33</v>
      </c>
      <c r="C57" s="37">
        <v>0</v>
      </c>
      <c r="D57" s="37">
        <v>0</v>
      </c>
      <c r="E57" s="38" t="e">
        <f>SUM(D57/C57*100)</f>
        <v>#DIV/0!</v>
      </c>
      <c r="F57" s="38">
        <f>SUM(D57-C57)</f>
        <v>0</v>
      </c>
    </row>
    <row r="58" spans="1:6">
      <c r="A58" s="35" t="s">
        <v>34</v>
      </c>
      <c r="B58" s="39" t="s">
        <v>35</v>
      </c>
      <c r="C58" s="37">
        <v>1367.4680000000001</v>
      </c>
      <c r="D58" s="37">
        <v>293.15391</v>
      </c>
      <c r="E58" s="38">
        <f t="shared" ref="E58:E99" si="3">SUM(D58/C58*100)</f>
        <v>21.437716275627654</v>
      </c>
      <c r="F58" s="38">
        <f t="shared" ref="F58:F99" si="4">SUM(D58-C58)</f>
        <v>-1074.3140900000001</v>
      </c>
    </row>
    <row r="59" spans="1:6" ht="16.5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6" ht="31.5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6" ht="17.2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6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6" ht="14.25" customHeight="1">
      <c r="A63" s="35" t="s">
        <v>44</v>
      </c>
      <c r="B63" s="39" t="s">
        <v>45</v>
      </c>
      <c r="C63" s="37">
        <f>2.833+10</f>
        <v>12.833</v>
      </c>
      <c r="D63" s="37">
        <v>3.1</v>
      </c>
      <c r="E63" s="38">
        <f t="shared" si="3"/>
        <v>24.156471596664851</v>
      </c>
      <c r="F63" s="38">
        <f t="shared" si="4"/>
        <v>-9.7330000000000005</v>
      </c>
    </row>
    <row r="64" spans="1:6" s="6" customFormat="1">
      <c r="A64" s="41" t="s">
        <v>46</v>
      </c>
      <c r="B64" s="42" t="s">
        <v>47</v>
      </c>
      <c r="C64" s="32">
        <f>C65</f>
        <v>150.881</v>
      </c>
      <c r="D64" s="32">
        <f>D65</f>
        <v>28.411999999999999</v>
      </c>
      <c r="E64" s="34">
        <f t="shared" si="3"/>
        <v>18.830734154731211</v>
      </c>
      <c r="F64" s="34">
        <f t="shared" si="4"/>
        <v>-122.46899999999999</v>
      </c>
    </row>
    <row r="65" spans="1:7" ht="15" customHeight="1">
      <c r="A65" s="43" t="s">
        <v>48</v>
      </c>
      <c r="B65" s="44" t="s">
        <v>49</v>
      </c>
      <c r="C65" s="37">
        <f>150.881</f>
        <v>150.881</v>
      </c>
      <c r="D65" s="37">
        <v>28.411999999999999</v>
      </c>
      <c r="E65" s="38">
        <f t="shared" si="3"/>
        <v>18.830734154731211</v>
      </c>
      <c r="F65" s="38">
        <f t="shared" si="4"/>
        <v>-122.46899999999999</v>
      </c>
    </row>
    <row r="66" spans="1:7" s="6" customFormat="1" ht="16.5" customHeight="1">
      <c r="A66" s="30" t="s">
        <v>50</v>
      </c>
      <c r="B66" s="31" t="s">
        <v>51</v>
      </c>
      <c r="C66" s="32">
        <f>C69+C70</f>
        <v>6.5</v>
      </c>
      <c r="D66" s="32">
        <f>D69+D70</f>
        <v>2.4700000000000002</v>
      </c>
      <c r="E66" s="34">
        <f t="shared" si="3"/>
        <v>38</v>
      </c>
      <c r="F66" s="34">
        <f t="shared" si="4"/>
        <v>-4.0299999999999994</v>
      </c>
    </row>
    <row r="67" spans="1:7" ht="0.75" customHeight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8" customHeight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7.25" customHeight="1">
      <c r="A70" s="46" t="s">
        <v>219</v>
      </c>
      <c r="B70" s="47" t="s">
        <v>220</v>
      </c>
      <c r="C70" s="37">
        <v>4.5</v>
      </c>
      <c r="D70" s="37">
        <v>2.4700000000000002</v>
      </c>
      <c r="E70" s="38">
        <f t="shared" si="3"/>
        <v>54.8888888888889</v>
      </c>
      <c r="F70" s="38">
        <f t="shared" si="4"/>
        <v>-2.0299999999999998</v>
      </c>
    </row>
    <row r="71" spans="1:7" s="6" customFormat="1" ht="19.5" customHeight="1">
      <c r="A71" s="30" t="s">
        <v>58</v>
      </c>
      <c r="B71" s="31" t="s">
        <v>59</v>
      </c>
      <c r="C71" s="48">
        <f>C73+C74+C75+C72</f>
        <v>1824.7346199999999</v>
      </c>
      <c r="D71" s="48">
        <f>SUM(D72:D75)</f>
        <v>107.547</v>
      </c>
      <c r="E71" s="34">
        <f t="shared" si="3"/>
        <v>5.8938433469300868</v>
      </c>
      <c r="F71" s="34">
        <f t="shared" si="4"/>
        <v>-1717.1876199999999</v>
      </c>
    </row>
    <row r="72" spans="1:7" ht="17.25" customHeight="1">
      <c r="A72" s="35" t="s">
        <v>60</v>
      </c>
      <c r="B72" s="39" t="s">
        <v>61</v>
      </c>
      <c r="C72" s="49">
        <f>2.4+6.35</f>
        <v>8.75</v>
      </c>
      <c r="D72" s="37">
        <v>0</v>
      </c>
      <c r="E72" s="38">
        <f t="shared" si="3"/>
        <v>0</v>
      </c>
      <c r="F72" s="38">
        <f t="shared" si="4"/>
        <v>-8.75</v>
      </c>
    </row>
    <row r="73" spans="1:7" s="6" customFormat="1" ht="17.25" customHeight="1">
      <c r="A73" s="35" t="s">
        <v>62</v>
      </c>
      <c r="B73" s="39" t="s">
        <v>63</v>
      </c>
      <c r="C73" s="49">
        <v>152.50200000000001</v>
      </c>
      <c r="D73" s="37">
        <v>0</v>
      </c>
      <c r="E73" s="38">
        <f t="shared" si="3"/>
        <v>0</v>
      </c>
      <c r="F73" s="38">
        <f t="shared" si="4"/>
        <v>-152.50200000000001</v>
      </c>
      <c r="G73" s="50"/>
    </row>
    <row r="74" spans="1:7" ht="16.5" customHeight="1">
      <c r="A74" s="35" t="s">
        <v>64</v>
      </c>
      <c r="B74" s="39" t="s">
        <v>65</v>
      </c>
      <c r="C74" s="49">
        <f>1059.28262+521.2</f>
        <v>1580.48262</v>
      </c>
      <c r="D74" s="37">
        <v>74.546999999999997</v>
      </c>
      <c r="E74" s="38">
        <f t="shared" si="3"/>
        <v>4.7167238068078214</v>
      </c>
      <c r="F74" s="38">
        <f t="shared" si="4"/>
        <v>-1505.93562</v>
      </c>
    </row>
    <row r="75" spans="1:7" ht="18" customHeight="1">
      <c r="A75" s="35" t="s">
        <v>66</v>
      </c>
      <c r="B75" s="39" t="s">
        <v>67</v>
      </c>
      <c r="C75" s="49">
        <v>83</v>
      </c>
      <c r="D75" s="37">
        <v>33</v>
      </c>
      <c r="E75" s="38">
        <f t="shared" si="3"/>
        <v>39.75903614457831</v>
      </c>
      <c r="F75" s="38">
        <f t="shared" si="4"/>
        <v>-50</v>
      </c>
    </row>
    <row r="76" spans="1:7" ht="15.75" customHeight="1">
      <c r="A76" s="30" t="s">
        <v>50</v>
      </c>
      <c r="B76" s="31" t="s">
        <v>51</v>
      </c>
      <c r="C76" s="48">
        <v>0</v>
      </c>
      <c r="D76" s="37"/>
      <c r="E76" s="38"/>
      <c r="F76" s="38"/>
    </row>
    <row r="77" spans="1:7" ht="15.75" customHeight="1">
      <c r="A77" s="46" t="s">
        <v>219</v>
      </c>
      <c r="B77" s="47" t="s">
        <v>220</v>
      </c>
      <c r="C77" s="49">
        <v>0</v>
      </c>
      <c r="D77" s="37"/>
      <c r="E77" s="38"/>
      <c r="F77" s="38"/>
    </row>
    <row r="78" spans="1:7" s="6" customFormat="1" ht="19.5" customHeight="1">
      <c r="A78" s="30" t="s">
        <v>68</v>
      </c>
      <c r="B78" s="31" t="s">
        <v>69</v>
      </c>
      <c r="C78" s="32">
        <f>SUM(C79:C81)</f>
        <v>6161.6903899999998</v>
      </c>
      <c r="D78" s="32">
        <f>SUM(D79:D81)</f>
        <v>76.334540000000004</v>
      </c>
      <c r="E78" s="34">
        <f t="shared" si="3"/>
        <v>1.2388571182331025</v>
      </c>
      <c r="F78" s="34">
        <f t="shared" si="4"/>
        <v>-6085.3558499999999</v>
      </c>
    </row>
    <row r="79" spans="1:7">
      <c r="A79" s="35" t="s">
        <v>70</v>
      </c>
      <c r="B79" s="51" t="s">
        <v>71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72</v>
      </c>
      <c r="B80" s="51" t="s">
        <v>73</v>
      </c>
      <c r="C80" s="37">
        <v>5884.1903899999998</v>
      </c>
      <c r="D80" s="37">
        <v>0</v>
      </c>
      <c r="E80" s="38">
        <f t="shared" si="3"/>
        <v>0</v>
      </c>
      <c r="F80" s="38">
        <f t="shared" si="4"/>
        <v>-5884.1903899999998</v>
      </c>
    </row>
    <row r="81" spans="1:6">
      <c r="A81" s="35" t="s">
        <v>74</v>
      </c>
      <c r="B81" s="39" t="s">
        <v>75</v>
      </c>
      <c r="C81" s="37">
        <v>277.5</v>
      </c>
      <c r="D81" s="37">
        <v>76.334540000000004</v>
      </c>
      <c r="E81" s="38">
        <f t="shared" si="3"/>
        <v>27.507942342342346</v>
      </c>
      <c r="F81" s="38">
        <f t="shared" si="4"/>
        <v>-201.16546</v>
      </c>
    </row>
    <row r="82" spans="1:6" s="6" customFormat="1">
      <c r="A82" s="30" t="s">
        <v>86</v>
      </c>
      <c r="B82" s="31" t="s">
        <v>87</v>
      </c>
      <c r="C82" s="32">
        <f>C83</f>
        <v>1362.5</v>
      </c>
      <c r="D82" s="32">
        <f>SUM(D83)</f>
        <v>339.06815</v>
      </c>
      <c r="E82" s="34">
        <f t="shared" si="3"/>
        <v>24.885735779816514</v>
      </c>
      <c r="F82" s="34">
        <f t="shared" si="4"/>
        <v>-1023.4318499999999</v>
      </c>
    </row>
    <row r="83" spans="1:6" ht="16.5" customHeight="1">
      <c r="A83" s="35" t="s">
        <v>88</v>
      </c>
      <c r="B83" s="39" t="s">
        <v>234</v>
      </c>
      <c r="C83" s="37">
        <f>1362.5</f>
        <v>1362.5</v>
      </c>
      <c r="D83" s="37">
        <v>339.06815</v>
      </c>
      <c r="E83" s="38">
        <f t="shared" si="3"/>
        <v>24.885735779816514</v>
      </c>
      <c r="F83" s="38">
        <f t="shared" si="4"/>
        <v>-1023.4318499999999</v>
      </c>
    </row>
    <row r="84" spans="1:6" s="6" customFormat="1" ht="0.75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2.75" customHeight="1">
      <c r="A88" s="35" t="s">
        <v>93</v>
      </c>
      <c r="B88" s="39" t="s">
        <v>94</v>
      </c>
      <c r="C88" s="37">
        <v>0</v>
      </c>
      <c r="D88" s="37">
        <v>0</v>
      </c>
      <c r="E88" s="38"/>
      <c r="F88" s="38">
        <f t="shared" si="4"/>
        <v>0</v>
      </c>
    </row>
    <row r="89" spans="1:6" ht="15" customHeight="1">
      <c r="A89" s="30" t="s">
        <v>95</v>
      </c>
      <c r="B89" s="31" t="s">
        <v>96</v>
      </c>
      <c r="C89" s="32">
        <f>C90+C91+C92+C93+C94</f>
        <v>10</v>
      </c>
      <c r="D89" s="290">
        <f>D90+D91+D92+D93+D94</f>
        <v>1.53</v>
      </c>
      <c r="E89" s="38">
        <f t="shared" si="3"/>
        <v>15.299999999999999</v>
      </c>
      <c r="F89" s="22">
        <f>F90+F91+F92+F93+F94</f>
        <v>-8.4700000000000006</v>
      </c>
    </row>
    <row r="90" spans="1:6" ht="19.5" customHeight="1">
      <c r="A90" s="35" t="s">
        <v>97</v>
      </c>
      <c r="B90" s="39" t="s">
        <v>98</v>
      </c>
      <c r="C90" s="37">
        <v>10</v>
      </c>
      <c r="D90" s="291">
        <v>1.53</v>
      </c>
      <c r="E90" s="38">
        <f t="shared" si="3"/>
        <v>15.299999999999999</v>
      </c>
      <c r="F90" s="38">
        <f>SUM(D90-C90)</f>
        <v>-8.4700000000000006</v>
      </c>
    </row>
    <row r="91" spans="1:6" ht="15" customHeight="1">
      <c r="A91" s="35" t="s">
        <v>99</v>
      </c>
      <c r="B91" s="39" t="s">
        <v>100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customHeight="1">
      <c r="A92" s="35" t="s">
        <v>101</v>
      </c>
      <c r="B92" s="39" t="s">
        <v>102</v>
      </c>
      <c r="C92" s="37"/>
      <c r="D92" s="37"/>
      <c r="E92" s="38" t="e">
        <f t="shared" si="3"/>
        <v>#DIV/0!</v>
      </c>
      <c r="F92" s="38"/>
    </row>
    <row r="93" spans="1:6" ht="15" customHeight="1">
      <c r="A93" s="35" t="s">
        <v>103</v>
      </c>
      <c r="B93" s="39" t="s">
        <v>104</v>
      </c>
      <c r="C93" s="37"/>
      <c r="D93" s="37"/>
      <c r="E93" s="38" t="e">
        <f t="shared" si="3"/>
        <v>#DIV/0!</v>
      </c>
      <c r="F93" s="38"/>
    </row>
    <row r="94" spans="1:6" ht="57.75" customHeight="1">
      <c r="A94" s="35" t="s">
        <v>105</v>
      </c>
      <c r="B94" s="39" t="s">
        <v>106</v>
      </c>
      <c r="C94" s="241"/>
      <c r="D94" s="241"/>
      <c r="E94" s="38" t="e">
        <f t="shared" si="3"/>
        <v>#DIV/0!</v>
      </c>
      <c r="F94" s="38"/>
    </row>
    <row r="95" spans="1:6" s="6" customFormat="1" ht="15" customHeight="1">
      <c r="A95" s="52">
        <v>1400</v>
      </c>
      <c r="B95" s="56" t="s">
        <v>115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6.5" customHeight="1">
      <c r="A96" s="53">
        <v>1401</v>
      </c>
      <c r="B96" s="54" t="s">
        <v>116</v>
      </c>
      <c r="C96" s="92">
        <v>0</v>
      </c>
      <c r="D96" s="92">
        <v>0</v>
      </c>
      <c r="E96" s="38" t="e">
        <f t="shared" si="3"/>
        <v>#DIV/0!</v>
      </c>
      <c r="F96" s="38">
        <f t="shared" si="4"/>
        <v>0</v>
      </c>
    </row>
    <row r="97" spans="1:6" ht="20.25" customHeight="1">
      <c r="A97" s="53">
        <v>1402</v>
      </c>
      <c r="B97" s="54" t="s">
        <v>117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13.5" customHeight="1">
      <c r="A98" s="53">
        <v>1403</v>
      </c>
      <c r="B98" s="54" t="s">
        <v>118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s="6" customFormat="1">
      <c r="A99" s="52"/>
      <c r="B99" s="57" t="s">
        <v>119</v>
      </c>
      <c r="C99" s="102">
        <f>C56+C64+C66+C71+C78+C82+C84+C89+C76</f>
        <v>10901.60701</v>
      </c>
      <c r="D99" s="102">
        <f>D56+D64+D66+D71+D78+D82+D89+D84</f>
        <v>851.61559999999997</v>
      </c>
      <c r="E99" s="34">
        <f t="shared" si="3"/>
        <v>7.8118354405806087</v>
      </c>
      <c r="F99" s="34">
        <f t="shared" si="4"/>
        <v>-10049.991410000001</v>
      </c>
    </row>
    <row r="100" spans="1:6" ht="5.25" customHeight="1">
      <c r="C100" s="120"/>
      <c r="D100" s="61"/>
    </row>
    <row r="101" spans="1:6" s="65" customFormat="1" ht="12.75">
      <c r="A101" s="63" t="s">
        <v>120</v>
      </c>
      <c r="B101" s="63"/>
      <c r="C101" s="116"/>
      <c r="D101" s="64"/>
    </row>
    <row r="102" spans="1:6" s="65" customFormat="1" ht="12.75">
      <c r="A102" s="66" t="s">
        <v>121</v>
      </c>
      <c r="B102" s="66"/>
      <c r="C102" s="65" t="s">
        <v>122</v>
      </c>
    </row>
    <row r="103" spans="1:6">
      <c r="C103" s="120"/>
    </row>
    <row r="141" hidden="1"/>
  </sheetData>
  <customSheetViews>
    <customSheetView guid="{A54C432C-6C68-4B53-A75C-446EB3A61B2B}" scale="70" showPageBreaks="1" printArea="1" hiddenRows="1" view="pageBreakPreview" topLeftCell="A54">
      <selection activeCell="C141" sqref="C141:D141"/>
      <pageMargins left="0.7" right="0.7" top="0.75" bottom="0.75" header="0.3" footer="0.3"/>
      <pageSetup paperSize="9" scale="51" orientation="portrait" r:id="rId1"/>
    </customSheetView>
    <customSheetView guid="{5BFCA170-DEAE-4D2C-98A0-1E68B427AC01}" scale="70" showPageBreaks="1" printArea="1" hiddenRows="1" view="pageBreakPreview">
      <selection activeCell="J3" sqref="J3:J11"/>
      <pageMargins left="0.7" right="0.7" top="0.75" bottom="0.75" header="0.3" footer="0.3"/>
      <pageSetup paperSize="9" scale="51" orientation="portrait" r:id="rId2"/>
    </customSheetView>
    <customSheetView guid="{42584DC0-1D41-4C93-9B38-C388E7B8DAC4}" scale="70" showPageBreaks="1" printArea="1" hiddenRows="1" view="pageBreakPreview">
      <selection activeCell="C141" sqref="C141:D141"/>
      <pageMargins left="0.7" right="0.7" top="0.75" bottom="0.75" header="0.3" footer="0.3"/>
      <pageSetup paperSize="9" scale="51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1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37" t="s">
        <v>382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9">
        <f>C5+C12+C14+C17+C20+C7</f>
        <v>4140.33</v>
      </c>
      <c r="D4" s="289">
        <f>D5+D12+D14+D17+D20+D7</f>
        <v>531.54471000000001</v>
      </c>
      <c r="E4" s="5">
        <f>SUM(D4/C4*100)</f>
        <v>12.838220866452673</v>
      </c>
      <c r="F4" s="5">
        <f>SUM(D4-C4)</f>
        <v>-3608.7852899999998</v>
      </c>
    </row>
    <row r="5" spans="1:6" s="6" customFormat="1">
      <c r="A5" s="68">
        <v>1010000000</v>
      </c>
      <c r="B5" s="67" t="s">
        <v>6</v>
      </c>
      <c r="C5" s="289">
        <f>C6</f>
        <v>456.3</v>
      </c>
      <c r="D5" s="289">
        <f>D6</f>
        <v>89.669749999999993</v>
      </c>
      <c r="E5" s="5">
        <f t="shared" ref="E5:E50" si="0">SUM(D5/C5*100)</f>
        <v>19.651490247644091</v>
      </c>
      <c r="F5" s="5">
        <f t="shared" ref="F5:F50" si="1">SUM(D5-C5)</f>
        <v>-366.63025000000005</v>
      </c>
    </row>
    <row r="6" spans="1:6">
      <c r="A6" s="7">
        <v>1010200001</v>
      </c>
      <c r="B6" s="8" t="s">
        <v>229</v>
      </c>
      <c r="C6" s="368">
        <v>456.3</v>
      </c>
      <c r="D6" s="369">
        <f>89.66975</f>
        <v>89.669749999999993</v>
      </c>
      <c r="E6" s="9">
        <f t="shared" ref="E6:E11" si="2">SUM(D6/C6*100)</f>
        <v>19.651490247644091</v>
      </c>
      <c r="F6" s="9">
        <f t="shared" si="1"/>
        <v>-366.63025000000005</v>
      </c>
    </row>
    <row r="7" spans="1:6" ht="31.5">
      <c r="A7" s="3">
        <v>1030000000</v>
      </c>
      <c r="B7" s="13" t="s">
        <v>281</v>
      </c>
      <c r="C7" s="289">
        <f>C8+C10+C9</f>
        <v>713.03000000000009</v>
      </c>
      <c r="D7" s="289">
        <f>D8+D10+D9+D11</f>
        <v>166.44314</v>
      </c>
      <c r="E7" s="5">
        <f t="shared" si="2"/>
        <v>23.343076728889383</v>
      </c>
      <c r="F7" s="5">
        <f t="shared" si="1"/>
        <v>-546.58686000000012</v>
      </c>
    </row>
    <row r="8" spans="1:6">
      <c r="A8" s="7">
        <v>1030223001</v>
      </c>
      <c r="B8" s="8" t="s">
        <v>283</v>
      </c>
      <c r="C8" s="368">
        <v>265.95999999999998</v>
      </c>
      <c r="D8" s="369">
        <v>68.571849999999998</v>
      </c>
      <c r="E8" s="9">
        <f t="shared" si="2"/>
        <v>25.782768085426383</v>
      </c>
      <c r="F8" s="9">
        <f t="shared" si="1"/>
        <v>-197.38815</v>
      </c>
    </row>
    <row r="9" spans="1:6">
      <c r="A9" s="7">
        <v>1030224001</v>
      </c>
      <c r="B9" s="8" t="s">
        <v>289</v>
      </c>
      <c r="C9" s="368">
        <v>2.85</v>
      </c>
      <c r="D9" s="369">
        <v>0.46226</v>
      </c>
      <c r="E9" s="9">
        <f t="shared" si="2"/>
        <v>16.219649122807017</v>
      </c>
      <c r="F9" s="9">
        <f t="shared" si="1"/>
        <v>-2.38774</v>
      </c>
    </row>
    <row r="10" spans="1:6">
      <c r="A10" s="7">
        <v>1030225001</v>
      </c>
      <c r="B10" s="8" t="s">
        <v>282</v>
      </c>
      <c r="C10" s="368">
        <v>444.22</v>
      </c>
      <c r="D10" s="369">
        <v>111.69759000000001</v>
      </c>
      <c r="E10" s="9">
        <f t="shared" si="2"/>
        <v>25.144655801179596</v>
      </c>
      <c r="F10" s="9">
        <f t="shared" si="1"/>
        <v>-332.52241000000004</v>
      </c>
    </row>
    <row r="11" spans="1:6">
      <c r="A11" s="7">
        <v>1030226001</v>
      </c>
      <c r="B11" s="8" t="s">
        <v>290</v>
      </c>
      <c r="C11" s="368">
        <v>0</v>
      </c>
      <c r="D11" s="367">
        <v>-14.28856</v>
      </c>
      <c r="E11" s="9" t="e">
        <f t="shared" si="2"/>
        <v>#DIV/0!</v>
      </c>
      <c r="F11" s="9">
        <f t="shared" si="1"/>
        <v>-14.28856</v>
      </c>
    </row>
    <row r="12" spans="1:6" s="6" customFormat="1">
      <c r="A12" s="68">
        <v>1050000000</v>
      </c>
      <c r="B12" s="67" t="s">
        <v>7</v>
      </c>
      <c r="C12" s="289">
        <f>SUM(C13:C13)</f>
        <v>50</v>
      </c>
      <c r="D12" s="289">
        <f>D13</f>
        <v>2.05992</v>
      </c>
      <c r="E12" s="5">
        <f t="shared" si="0"/>
        <v>4.1198399999999999</v>
      </c>
      <c r="F12" s="5">
        <f t="shared" si="1"/>
        <v>-47.940080000000002</v>
      </c>
    </row>
    <row r="13" spans="1:6" ht="15.75" customHeight="1">
      <c r="A13" s="7">
        <v>1050300000</v>
      </c>
      <c r="B13" s="11" t="s">
        <v>230</v>
      </c>
      <c r="C13" s="370">
        <v>50</v>
      </c>
      <c r="D13" s="369">
        <f>1.02/1000+2.0589</f>
        <v>2.05992</v>
      </c>
      <c r="E13" s="9">
        <f t="shared" si="0"/>
        <v>4.1198399999999999</v>
      </c>
      <c r="F13" s="9">
        <f t="shared" si="1"/>
        <v>-47.940080000000002</v>
      </c>
    </row>
    <row r="14" spans="1:6" s="6" customFormat="1" ht="15.75" customHeight="1">
      <c r="A14" s="68">
        <v>1060000000</v>
      </c>
      <c r="B14" s="67" t="s">
        <v>136</v>
      </c>
      <c r="C14" s="289">
        <f>C15+C16</f>
        <v>2916</v>
      </c>
      <c r="D14" s="289">
        <f>D15+D16</f>
        <v>264.57190000000003</v>
      </c>
      <c r="E14" s="5">
        <f t="shared" si="0"/>
        <v>9.0731104252400545</v>
      </c>
      <c r="F14" s="5">
        <f t="shared" si="1"/>
        <v>-2651.4281000000001</v>
      </c>
    </row>
    <row r="15" spans="1:6" s="6" customFormat="1" ht="15.75" customHeight="1">
      <c r="A15" s="7">
        <v>1060100000</v>
      </c>
      <c r="B15" s="11" t="s">
        <v>9</v>
      </c>
      <c r="C15" s="368">
        <v>255</v>
      </c>
      <c r="D15" s="369">
        <v>16.524090000000001</v>
      </c>
      <c r="E15" s="9">
        <f t="shared" si="0"/>
        <v>6.4800352941176476</v>
      </c>
      <c r="F15" s="9">
        <f>SUM(D15-C15)</f>
        <v>-238.47591</v>
      </c>
    </row>
    <row r="16" spans="1:6" ht="15.75" customHeight="1">
      <c r="A16" s="7">
        <v>1060600000</v>
      </c>
      <c r="B16" s="11" t="s">
        <v>8</v>
      </c>
      <c r="C16" s="368">
        <v>2661</v>
      </c>
      <c r="D16" s="369">
        <v>248.04781</v>
      </c>
      <c r="E16" s="9">
        <f t="shared" si="0"/>
        <v>9.3216012777151445</v>
      </c>
      <c r="F16" s="9">
        <f t="shared" si="1"/>
        <v>-2412.95219</v>
      </c>
    </row>
    <row r="17" spans="1:6" s="6" customFormat="1">
      <c r="A17" s="3">
        <v>1080000000</v>
      </c>
      <c r="B17" s="4" t="s">
        <v>11</v>
      </c>
      <c r="C17" s="289">
        <f>C18</f>
        <v>5</v>
      </c>
      <c r="D17" s="289">
        <f>D18</f>
        <v>8.8000000000000007</v>
      </c>
      <c r="E17" s="5">
        <f t="shared" si="0"/>
        <v>176.00000000000003</v>
      </c>
      <c r="F17" s="5">
        <f t="shared" si="1"/>
        <v>3.8000000000000007</v>
      </c>
    </row>
    <row r="18" spans="1:6">
      <c r="A18" s="7">
        <v>1080400001</v>
      </c>
      <c r="B18" s="8" t="s">
        <v>228</v>
      </c>
      <c r="C18" s="368">
        <v>5</v>
      </c>
      <c r="D18" s="369">
        <v>8.8000000000000007</v>
      </c>
      <c r="E18" s="9">
        <f t="shared" si="0"/>
        <v>176.00000000000003</v>
      </c>
      <c r="F18" s="9">
        <f t="shared" si="1"/>
        <v>3.8000000000000007</v>
      </c>
    </row>
    <row r="19" spans="1:6" ht="47.25" customHeight="1">
      <c r="A19" s="7">
        <v>1080714001</v>
      </c>
      <c r="B19" s="8" t="s">
        <v>12</v>
      </c>
      <c r="C19" s="368"/>
      <c r="D19" s="369"/>
      <c r="E19" s="9" t="e">
        <f t="shared" si="0"/>
        <v>#DIV/0!</v>
      </c>
      <c r="F19" s="9">
        <f t="shared" si="1"/>
        <v>0</v>
      </c>
    </row>
    <row r="20" spans="1:6" s="15" customFormat="1" ht="29.25">
      <c r="A20" s="68">
        <v>1090000000</v>
      </c>
      <c r="B20" s="69" t="s">
        <v>124</v>
      </c>
      <c r="C20" s="289">
        <f>C21+C22+C23+C24</f>
        <v>0</v>
      </c>
      <c r="D20" s="289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>
      <c r="A21" s="7">
        <v>1090100000</v>
      </c>
      <c r="B21" s="8" t="s">
        <v>125</v>
      </c>
      <c r="C21" s="289"/>
      <c r="D21" s="371"/>
      <c r="E21" s="9" t="e">
        <f t="shared" si="0"/>
        <v>#DIV/0!</v>
      </c>
      <c r="F21" s="9">
        <f t="shared" si="1"/>
        <v>0</v>
      </c>
    </row>
    <row r="22" spans="1:6" s="15" customFormat="1">
      <c r="A22" s="7">
        <v>1090400000</v>
      </c>
      <c r="B22" s="8" t="s">
        <v>126</v>
      </c>
      <c r="C22" s="289"/>
      <c r="D22" s="371"/>
      <c r="E22" s="9" t="e">
        <f t="shared" si="0"/>
        <v>#DIV/0!</v>
      </c>
      <c r="F22" s="9">
        <f t="shared" si="1"/>
        <v>0</v>
      </c>
    </row>
    <row r="23" spans="1:6" s="15" customFormat="1">
      <c r="A23" s="7">
        <v>1090600000</v>
      </c>
      <c r="B23" s="8" t="s">
        <v>127</v>
      </c>
      <c r="C23" s="289"/>
      <c r="D23" s="371"/>
      <c r="E23" s="9" t="e">
        <f t="shared" si="0"/>
        <v>#DIV/0!</v>
      </c>
      <c r="F23" s="9">
        <f t="shared" si="1"/>
        <v>0</v>
      </c>
    </row>
    <row r="24" spans="1:6" s="15" customFormat="1">
      <c r="A24" s="7">
        <v>1090700000</v>
      </c>
      <c r="B24" s="8" t="s">
        <v>128</v>
      </c>
      <c r="C24" s="289"/>
      <c r="D24" s="371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9">
        <f>C26+C29+C31+C36</f>
        <v>72</v>
      </c>
      <c r="D25" s="93">
        <f>D26+D29+D31+D36+D34</f>
        <v>-300.39299999999997</v>
      </c>
      <c r="E25" s="5">
        <f t="shared" si="0"/>
        <v>-417.21249999999992</v>
      </c>
      <c r="F25" s="5">
        <f t="shared" si="1"/>
        <v>-372.39299999999997</v>
      </c>
    </row>
    <row r="26" spans="1:6" s="6" customFormat="1" ht="30" customHeight="1">
      <c r="A26" s="68">
        <v>1110000000</v>
      </c>
      <c r="B26" s="69" t="s">
        <v>129</v>
      </c>
      <c r="C26" s="289">
        <f>C27+C28</f>
        <v>72</v>
      </c>
      <c r="D26" s="93">
        <f>D27+D28</f>
        <v>-300</v>
      </c>
      <c r="E26" s="5">
        <f t="shared" si="0"/>
        <v>-416.66666666666669</v>
      </c>
      <c r="F26" s="5">
        <f t="shared" si="1"/>
        <v>-372</v>
      </c>
    </row>
    <row r="27" spans="1:6" ht="15" customHeight="1">
      <c r="A27" s="16">
        <v>1110502510</v>
      </c>
      <c r="B27" s="17" t="s">
        <v>226</v>
      </c>
      <c r="C27" s="370">
        <v>70</v>
      </c>
      <c r="D27" s="367">
        <v>-300</v>
      </c>
      <c r="E27" s="9">
        <f t="shared" si="0"/>
        <v>-428.57142857142856</v>
      </c>
      <c r="F27" s="9">
        <f t="shared" si="1"/>
        <v>-370</v>
      </c>
    </row>
    <row r="28" spans="1:6" ht="15" customHeight="1">
      <c r="A28" s="7">
        <v>1110503505</v>
      </c>
      <c r="B28" s="11" t="s">
        <v>225</v>
      </c>
      <c r="C28" s="370">
        <v>2</v>
      </c>
      <c r="D28" s="369">
        <v>0</v>
      </c>
      <c r="E28" s="9">
        <f t="shared" si="0"/>
        <v>0</v>
      </c>
      <c r="F28" s="9">
        <f t="shared" si="1"/>
        <v>-2</v>
      </c>
    </row>
    <row r="29" spans="1:6" s="15" customFormat="1" ht="14.25" customHeight="1">
      <c r="A29" s="68">
        <v>1130000000</v>
      </c>
      <c r="B29" s="69" t="s">
        <v>131</v>
      </c>
      <c r="C29" s="289">
        <f>C30</f>
        <v>0</v>
      </c>
      <c r="D29" s="289">
        <f>D30</f>
        <v>0</v>
      </c>
      <c r="E29" s="5" t="e">
        <f t="shared" si="0"/>
        <v>#DIV/0!</v>
      </c>
      <c r="F29" s="5">
        <f t="shared" si="1"/>
        <v>0</v>
      </c>
    </row>
    <row r="30" spans="1:6" ht="22.5" customHeight="1">
      <c r="A30" s="7">
        <v>1130206005</v>
      </c>
      <c r="B30" s="8" t="s">
        <v>224</v>
      </c>
      <c r="C30" s="368">
        <v>0</v>
      </c>
      <c r="D30" s="369">
        <v>0</v>
      </c>
      <c r="E30" s="9" t="e">
        <f t="shared" si="0"/>
        <v>#DIV/0!</v>
      </c>
      <c r="F30" s="9">
        <f t="shared" si="1"/>
        <v>0</v>
      </c>
    </row>
    <row r="31" spans="1:6" ht="17.25" customHeight="1">
      <c r="A31" s="70">
        <v>1140000000</v>
      </c>
      <c r="B31" s="71" t="s">
        <v>132</v>
      </c>
      <c r="C31" s="289">
        <f>C32+C33</f>
        <v>0</v>
      </c>
      <c r="D31" s="289">
        <f>D32+D33</f>
        <v>0</v>
      </c>
      <c r="E31" s="5" t="e">
        <f t="shared" si="0"/>
        <v>#DIV/0!</v>
      </c>
      <c r="F31" s="5">
        <f t="shared" si="1"/>
        <v>0</v>
      </c>
    </row>
    <row r="32" spans="1:6" ht="16.5" customHeight="1">
      <c r="A32" s="16">
        <v>1140200000</v>
      </c>
      <c r="B32" s="18" t="s">
        <v>222</v>
      </c>
      <c r="C32" s="368">
        <v>0</v>
      </c>
      <c r="D32" s="369">
        <v>0</v>
      </c>
      <c r="E32" s="9" t="e">
        <f t="shared" si="0"/>
        <v>#DIV/0!</v>
      </c>
      <c r="F32" s="9">
        <f t="shared" si="1"/>
        <v>0</v>
      </c>
    </row>
    <row r="33" spans="1:7" ht="20.25" customHeight="1">
      <c r="A33" s="7">
        <v>1140600000</v>
      </c>
      <c r="B33" s="8" t="s">
        <v>223</v>
      </c>
      <c r="C33" s="368">
        <v>0</v>
      </c>
      <c r="D33" s="369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289">
        <f>C35</f>
        <v>0</v>
      </c>
      <c r="D34" s="289">
        <f>D35</f>
        <v>0</v>
      </c>
      <c r="E34" s="5" t="e">
        <f>SUM(D34/C34*100)</f>
        <v>#DIV/0!</v>
      </c>
      <c r="F34" s="5">
        <f>SUM(D34-C34)</f>
        <v>0</v>
      </c>
    </row>
    <row r="35" spans="1:7" ht="47.25">
      <c r="A35" s="7">
        <v>1163305010</v>
      </c>
      <c r="B35" s="8" t="s">
        <v>268</v>
      </c>
      <c r="C35" s="368">
        <v>0</v>
      </c>
      <c r="D35" s="369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9">
        <f>C37+C38</f>
        <v>0</v>
      </c>
      <c r="D36" s="93">
        <f>D37+D38</f>
        <v>-0.39300000000000002</v>
      </c>
      <c r="E36" s="5" t="e">
        <f t="shared" si="0"/>
        <v>#DIV/0!</v>
      </c>
      <c r="F36" s="5">
        <f t="shared" si="1"/>
        <v>-0.39300000000000002</v>
      </c>
    </row>
    <row r="37" spans="1:7" ht="15.75" customHeight="1">
      <c r="A37" s="7">
        <v>1170105005</v>
      </c>
      <c r="B37" s="8" t="s">
        <v>18</v>
      </c>
      <c r="C37" s="368">
        <f>C38</f>
        <v>0</v>
      </c>
      <c r="D37" s="378">
        <v>-0.39300000000000002</v>
      </c>
      <c r="E37" s="9" t="e">
        <f t="shared" si="0"/>
        <v>#DIV/0!</v>
      </c>
      <c r="F37" s="9">
        <f t="shared" si="1"/>
        <v>-0.39300000000000002</v>
      </c>
    </row>
    <row r="38" spans="1:7" ht="17.25" customHeight="1">
      <c r="A38" s="7">
        <v>1170505005</v>
      </c>
      <c r="B38" s="11" t="s">
        <v>221</v>
      </c>
      <c r="C38" s="368">
        <v>0</v>
      </c>
      <c r="D38" s="369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72">
        <f>SUM(C4,C25)</f>
        <v>4212.33</v>
      </c>
      <c r="D39" s="372">
        <f>D4+D25</f>
        <v>231.15171000000004</v>
      </c>
      <c r="E39" s="5">
        <f t="shared" si="0"/>
        <v>5.4875024036578335</v>
      </c>
      <c r="F39" s="5">
        <f t="shared" si="1"/>
        <v>-3981.1782899999998</v>
      </c>
    </row>
    <row r="40" spans="1:7" s="6" customFormat="1">
      <c r="A40" s="3">
        <v>2000000000</v>
      </c>
      <c r="B40" s="4" t="s">
        <v>20</v>
      </c>
      <c r="C40" s="289">
        <f>C41+C43+C45+C46+C47+C48+C42+C44</f>
        <v>1773.33</v>
      </c>
      <c r="D40" s="289">
        <f>D41+D43+D45+D46+D47+D48+D42</f>
        <v>388.15899999999999</v>
      </c>
      <c r="E40" s="5">
        <f t="shared" si="0"/>
        <v>21.888706557719093</v>
      </c>
      <c r="F40" s="5">
        <f t="shared" si="1"/>
        <v>-1385.1709999999998</v>
      </c>
      <c r="G40" s="19"/>
    </row>
    <row r="41" spans="1:7">
      <c r="A41" s="16">
        <v>2021000000</v>
      </c>
      <c r="B41" s="17" t="s">
        <v>21</v>
      </c>
      <c r="C41" s="373">
        <f>1098.759</f>
        <v>1098.759</v>
      </c>
      <c r="D41" s="374">
        <v>351.9</v>
      </c>
      <c r="E41" s="9">
        <f t="shared" si="0"/>
        <v>32.027041416725595</v>
      </c>
      <c r="F41" s="9">
        <f t="shared" si="1"/>
        <v>-746.85900000000004</v>
      </c>
    </row>
    <row r="42" spans="1:7" ht="14.25" customHeight="1">
      <c r="A42" s="16">
        <v>2021500200</v>
      </c>
      <c r="B42" s="17" t="s">
        <v>232</v>
      </c>
      <c r="C42" s="373">
        <v>0</v>
      </c>
      <c r="D42" s="374">
        <v>0</v>
      </c>
      <c r="E42" s="9" t="e">
        <f>SUM(D42/C42*100)</f>
        <v>#DIV/0!</v>
      </c>
      <c r="F42" s="9">
        <f>SUM(D42-C42)</f>
        <v>0</v>
      </c>
    </row>
    <row r="43" spans="1:7" ht="13.5" customHeight="1">
      <c r="A43" s="16">
        <v>2022000000</v>
      </c>
      <c r="B43" s="17" t="s">
        <v>22</v>
      </c>
      <c r="C43" s="373">
        <v>518.89</v>
      </c>
      <c r="D43" s="369">
        <v>0</v>
      </c>
      <c r="E43" s="9">
        <f t="shared" si="0"/>
        <v>0</v>
      </c>
      <c r="F43" s="9">
        <f t="shared" si="1"/>
        <v>-518.89</v>
      </c>
    </row>
    <row r="44" spans="1:7" ht="0.75" customHeight="1">
      <c r="A44" s="16">
        <v>2022999910</v>
      </c>
      <c r="B44" s="18" t="s">
        <v>352</v>
      </c>
      <c r="C44" s="373">
        <v>0</v>
      </c>
      <c r="D44" s="369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370">
        <v>155.68100000000001</v>
      </c>
      <c r="D45" s="375">
        <v>36.259</v>
      </c>
      <c r="E45" s="9">
        <f t="shared" si="0"/>
        <v>23.2905749577662</v>
      </c>
      <c r="F45" s="9">
        <f t="shared" si="1"/>
        <v>-119.42200000000001</v>
      </c>
    </row>
    <row r="46" spans="1:7" ht="15" customHeight="1">
      <c r="A46" s="16">
        <v>2020400000</v>
      </c>
      <c r="B46" s="17" t="s">
        <v>24</v>
      </c>
      <c r="C46" s="370"/>
      <c r="D46" s="376"/>
      <c r="E46" s="9" t="e">
        <f t="shared" si="0"/>
        <v>#DIV/0!</v>
      </c>
      <c r="F46" s="9">
        <f t="shared" si="1"/>
        <v>0</v>
      </c>
    </row>
    <row r="47" spans="1:7" ht="15" customHeight="1">
      <c r="A47" s="16">
        <v>2020900000</v>
      </c>
      <c r="B47" s="18" t="s">
        <v>25</v>
      </c>
      <c r="C47" s="370"/>
      <c r="D47" s="376"/>
      <c r="E47" s="9" t="e">
        <f t="shared" si="0"/>
        <v>#DIV/0!</v>
      </c>
      <c r="F47" s="9">
        <f t="shared" si="1"/>
        <v>0</v>
      </c>
    </row>
    <row r="48" spans="1:7" ht="15" customHeight="1">
      <c r="A48" s="7">
        <v>2190500005</v>
      </c>
      <c r="B48" s="11" t="s">
        <v>26</v>
      </c>
      <c r="C48" s="371"/>
      <c r="D48" s="371"/>
      <c r="E48" s="5"/>
      <c r="F48" s="5">
        <f>SUM(D48-C48)</f>
        <v>0</v>
      </c>
    </row>
    <row r="49" spans="1:6" s="6" customFormat="1" ht="15" customHeight="1">
      <c r="A49" s="3">
        <v>3000000000</v>
      </c>
      <c r="B49" s="13" t="s">
        <v>27</v>
      </c>
      <c r="C49" s="377">
        <v>0</v>
      </c>
      <c r="D49" s="371">
        <v>0</v>
      </c>
      <c r="E49" s="5" t="e">
        <f t="shared" si="0"/>
        <v>#DIV/0!</v>
      </c>
      <c r="F49" s="5">
        <f t="shared" si="1"/>
        <v>0</v>
      </c>
    </row>
    <row r="50" spans="1:6" s="6" customFormat="1" ht="18" customHeight="1">
      <c r="A50" s="3"/>
      <c r="B50" s="4" t="s">
        <v>28</v>
      </c>
      <c r="C50" s="33">
        <f>C39+C40</f>
        <v>5985.66</v>
      </c>
      <c r="D50" s="362">
        <f>D39+D40</f>
        <v>619.31070999999997</v>
      </c>
      <c r="E50" s="289">
        <f t="shared" si="0"/>
        <v>10.34657347727736</v>
      </c>
      <c r="F50" s="93">
        <f t="shared" si="1"/>
        <v>-5366.3492900000001</v>
      </c>
    </row>
    <row r="51" spans="1:6" s="6" customFormat="1">
      <c r="A51" s="3"/>
      <c r="B51" s="21" t="s">
        <v>321</v>
      </c>
      <c r="C51" s="289">
        <f>C50-C96</f>
        <v>-476.83370000000014</v>
      </c>
      <c r="D51" s="289">
        <f>D50-D96</f>
        <v>-781.36320999999998</v>
      </c>
      <c r="E51" s="32"/>
      <c r="F51" s="32"/>
    </row>
    <row r="52" spans="1:6">
      <c r="A52" s="23"/>
      <c r="B52" s="24"/>
      <c r="C52" s="364"/>
      <c r="D52" s="364"/>
      <c r="E52" s="26"/>
      <c r="F52" s="27"/>
    </row>
    <row r="53" spans="1:6" ht="45.75" customHeight="1">
      <c r="A53" s="28" t="s">
        <v>1</v>
      </c>
      <c r="B53" s="28" t="s">
        <v>29</v>
      </c>
      <c r="C53" s="244" t="s">
        <v>346</v>
      </c>
      <c r="D53" s="245" t="s">
        <v>360</v>
      </c>
      <c r="E53" s="72" t="s">
        <v>3</v>
      </c>
      <c r="F53" s="74" t="s">
        <v>4</v>
      </c>
    </row>
    <row r="54" spans="1:6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6" s="6" customFormat="1" ht="32.25" customHeight="1">
      <c r="A55" s="30" t="s">
        <v>30</v>
      </c>
      <c r="B55" s="31" t="s">
        <v>31</v>
      </c>
      <c r="C55" s="32">
        <f>C56+C57+C58+C59+C60+C62+C61</f>
        <v>1574.145</v>
      </c>
      <c r="D55" s="32">
        <f>D56+D57+D58+D59+D60+D62+D61</f>
        <v>261.31074999999998</v>
      </c>
      <c r="E55" s="34">
        <f>SUM(D55/C55*100)</f>
        <v>16.600170251152214</v>
      </c>
      <c r="F55" s="34">
        <f>SUM(D55-C55)</f>
        <v>-1312.8342499999999</v>
      </c>
    </row>
    <row r="56" spans="1:6" s="6" customFormat="1" ht="31.5">
      <c r="A56" s="35" t="s">
        <v>32</v>
      </c>
      <c r="B56" s="36" t="s">
        <v>33</v>
      </c>
      <c r="C56" s="37"/>
      <c r="D56" s="37"/>
      <c r="E56" s="38"/>
      <c r="F56" s="38"/>
    </row>
    <row r="57" spans="1:6" ht="16.5" customHeight="1">
      <c r="A57" s="35" t="s">
        <v>34</v>
      </c>
      <c r="B57" s="39" t="s">
        <v>35</v>
      </c>
      <c r="C57" s="37">
        <f>1563.559</f>
        <v>1563.559</v>
      </c>
      <c r="D57" s="37">
        <v>261.31074999999998</v>
      </c>
      <c r="E57" s="38">
        <f t="shared" ref="E57:E69" si="3">SUM(D57/C57*100)</f>
        <v>16.712560894727986</v>
      </c>
      <c r="F57" s="38">
        <f t="shared" ref="F57:F69" si="4">SUM(D57-C57)</f>
        <v>-1302.2482500000001</v>
      </c>
    </row>
    <row r="58" spans="1:6" ht="16.5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6" ht="31.5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6" ht="17.25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6" ht="19.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6" ht="14.25" customHeight="1">
      <c r="A62" s="35" t="s">
        <v>44</v>
      </c>
      <c r="B62" s="39" t="s">
        <v>45</v>
      </c>
      <c r="C62" s="37">
        <v>5.5860000000000003</v>
      </c>
      <c r="D62" s="37">
        <v>0</v>
      </c>
      <c r="E62" s="38">
        <f t="shared" si="3"/>
        <v>0</v>
      </c>
      <c r="F62" s="38">
        <f t="shared" si="4"/>
        <v>-5.5860000000000003</v>
      </c>
    </row>
    <row r="63" spans="1:6" s="6" customFormat="1">
      <c r="A63" s="41" t="s">
        <v>46</v>
      </c>
      <c r="B63" s="42" t="s">
        <v>47</v>
      </c>
      <c r="C63" s="32">
        <f>C64</f>
        <v>150.881</v>
      </c>
      <c r="D63" s="32">
        <f>D64</f>
        <v>17.15598</v>
      </c>
      <c r="E63" s="34">
        <f t="shared" si="3"/>
        <v>11.370537045751288</v>
      </c>
      <c r="F63" s="34">
        <f t="shared" si="4"/>
        <v>-133.72502</v>
      </c>
    </row>
    <row r="64" spans="1:6">
      <c r="A64" s="43" t="s">
        <v>48</v>
      </c>
      <c r="B64" s="44" t="s">
        <v>49</v>
      </c>
      <c r="C64" s="37">
        <v>150.881</v>
      </c>
      <c r="D64" s="37">
        <v>17.15598</v>
      </c>
      <c r="E64" s="38">
        <f t="shared" si="3"/>
        <v>11.370537045751288</v>
      </c>
      <c r="F64" s="38">
        <f t="shared" si="4"/>
        <v>-133.72502</v>
      </c>
    </row>
    <row r="65" spans="1:7" s="6" customFormat="1" ht="17.25" customHeight="1">
      <c r="A65" s="30" t="s">
        <v>50</v>
      </c>
      <c r="B65" s="31" t="s">
        <v>51</v>
      </c>
      <c r="C65" s="32">
        <f>C68+C69</f>
        <v>4.4000000000000004</v>
      </c>
      <c r="D65" s="32">
        <f>D68+D69</f>
        <v>0</v>
      </c>
      <c r="E65" s="34">
        <f t="shared" si="3"/>
        <v>0</v>
      </c>
      <c r="F65" s="34">
        <f t="shared" si="4"/>
        <v>-4.4000000000000004</v>
      </c>
    </row>
    <row r="66" spans="1:7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2</v>
      </c>
      <c r="D68" s="37">
        <v>0</v>
      </c>
      <c r="E68" s="34">
        <f t="shared" si="3"/>
        <v>0</v>
      </c>
      <c r="F68" s="34">
        <f t="shared" si="4"/>
        <v>-2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0</v>
      </c>
      <c r="E69" s="38">
        <f t="shared" si="3"/>
        <v>0</v>
      </c>
      <c r="F69" s="38">
        <f t="shared" si="4"/>
        <v>-2.4</v>
      </c>
    </row>
    <row r="70" spans="1:7">
      <c r="A70" s="30" t="s">
        <v>58</v>
      </c>
      <c r="B70" s="31" t="s">
        <v>59</v>
      </c>
      <c r="C70" s="48">
        <f>SUM(C71:C74)</f>
        <v>1750.0536999999999</v>
      </c>
      <c r="D70" s="48">
        <f>SUM(D71:D74)</f>
        <v>458.91496000000001</v>
      </c>
      <c r="E70" s="34">
        <f t="shared" ref="E70:E85" si="5">SUM(D70/C70*100)</f>
        <v>26.222907331357892</v>
      </c>
      <c r="F70" s="34">
        <f t="shared" ref="F70:F85" si="6">SUM(D70-C70)</f>
        <v>-1291.1387399999999</v>
      </c>
    </row>
    <row r="71" spans="1:7" s="6" customFormat="1" ht="17.25" customHeight="1">
      <c r="A71" s="35" t="s">
        <v>60</v>
      </c>
      <c r="B71" s="39" t="s">
        <v>61</v>
      </c>
      <c r="C71" s="49">
        <f>4.8+12.7</f>
        <v>17.5</v>
      </c>
      <c r="D71" s="37">
        <v>0</v>
      </c>
      <c r="E71" s="38">
        <f t="shared" si="5"/>
        <v>0</v>
      </c>
      <c r="F71" s="38">
        <f t="shared" si="6"/>
        <v>-17.5</v>
      </c>
      <c r="G71" s="50"/>
    </row>
    <row r="72" spans="1:7">
      <c r="A72" s="35" t="s">
        <v>62</v>
      </c>
      <c r="B72" s="39" t="s">
        <v>63</v>
      </c>
      <c r="C72" s="49">
        <f>98+282.4</f>
        <v>380.4</v>
      </c>
      <c r="D72" s="37">
        <v>261.17552000000001</v>
      </c>
      <c r="E72" s="38">
        <f t="shared" si="5"/>
        <v>68.65812828601473</v>
      </c>
      <c r="F72" s="38">
        <f t="shared" si="6"/>
        <v>-119.22447999999997</v>
      </c>
    </row>
    <row r="73" spans="1:7">
      <c r="A73" s="35" t="s">
        <v>64</v>
      </c>
      <c r="B73" s="39" t="s">
        <v>65</v>
      </c>
      <c r="C73" s="49">
        <f>1272.1537</f>
        <v>1272.1537000000001</v>
      </c>
      <c r="D73" s="37">
        <f>197.73944</f>
        <v>197.73944</v>
      </c>
      <c r="E73" s="38">
        <f t="shared" si="5"/>
        <v>15.543675265024973</v>
      </c>
      <c r="F73" s="38">
        <f t="shared" si="6"/>
        <v>-1074.41426</v>
      </c>
    </row>
    <row r="74" spans="1:7" s="6" customFormat="1">
      <c r="A74" s="35" t="s">
        <v>66</v>
      </c>
      <c r="B74" s="39" t="s">
        <v>67</v>
      </c>
      <c r="C74" s="49">
        <v>80</v>
      </c>
      <c r="D74" s="37">
        <v>0</v>
      </c>
      <c r="E74" s="38">
        <f t="shared" si="5"/>
        <v>0</v>
      </c>
      <c r="F74" s="38">
        <f t="shared" si="6"/>
        <v>-80</v>
      </c>
    </row>
    <row r="75" spans="1:7" ht="18" customHeight="1">
      <c r="A75" s="30" t="s">
        <v>68</v>
      </c>
      <c r="B75" s="31" t="s">
        <v>69</v>
      </c>
      <c r="C75" s="32">
        <f>SUM(C76:C78)</f>
        <v>848.31399999999996</v>
      </c>
      <c r="D75" s="32">
        <f>SUM(D76:D78)</f>
        <v>162.59223</v>
      </c>
      <c r="E75" s="34">
        <f t="shared" si="5"/>
        <v>19.166514993269001</v>
      </c>
      <c r="F75" s="34">
        <f t="shared" si="6"/>
        <v>-685.72176999999999</v>
      </c>
    </row>
    <row r="76" spans="1:7" ht="16.5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f>603+241.314+4</f>
        <v>848.31399999999996</v>
      </c>
      <c r="D78" s="37">
        <v>162.59223</v>
      </c>
      <c r="E78" s="38">
        <f t="shared" si="5"/>
        <v>19.166514993269001</v>
      </c>
      <c r="F78" s="38">
        <f t="shared" si="6"/>
        <v>-685.72176999999999</v>
      </c>
    </row>
    <row r="79" spans="1:7">
      <c r="A79" s="30" t="s">
        <v>86</v>
      </c>
      <c r="B79" s="31" t="s">
        <v>87</v>
      </c>
      <c r="C79" s="32">
        <f>C80</f>
        <v>2133.6999999999998</v>
      </c>
      <c r="D79" s="32">
        <f>D80</f>
        <v>500.7</v>
      </c>
      <c r="E79" s="34">
        <f t="shared" si="5"/>
        <v>23.466279233256785</v>
      </c>
      <c r="F79" s="34">
        <f t="shared" si="6"/>
        <v>-1632.9999999999998</v>
      </c>
    </row>
    <row r="80" spans="1:7" s="6" customFormat="1" ht="15" customHeight="1">
      <c r="A80" s="35" t="s">
        <v>88</v>
      </c>
      <c r="B80" s="39" t="s">
        <v>234</v>
      </c>
      <c r="C80" s="37">
        <f>2033.7+100</f>
        <v>2133.6999999999998</v>
      </c>
      <c r="D80" s="37">
        <v>500.7</v>
      </c>
      <c r="E80" s="38">
        <f t="shared" si="5"/>
        <v>23.466279233256785</v>
      </c>
      <c r="F80" s="38">
        <f t="shared" si="6"/>
        <v>-1632.9999999999998</v>
      </c>
    </row>
    <row r="81" spans="1:6" ht="20.25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1</v>
      </c>
      <c r="D86" s="32">
        <f>D87+D88+D89+D90+D91</f>
        <v>0</v>
      </c>
      <c r="E86" s="38">
        <f t="shared" ref="E86:E96" si="7">SUM(D86/C86*100)</f>
        <v>0</v>
      </c>
      <c r="F86" s="22">
        <f>F87+F88+F89+F90+F91</f>
        <v>-1</v>
      </c>
    </row>
    <row r="87" spans="1:6" ht="17.25" customHeight="1">
      <c r="A87" s="35" t="s">
        <v>97</v>
      </c>
      <c r="B87" s="39" t="s">
        <v>98</v>
      </c>
      <c r="C87" s="37">
        <v>1</v>
      </c>
      <c r="D87" s="37">
        <v>0</v>
      </c>
      <c r="E87" s="38">
        <f t="shared" si="7"/>
        <v>0</v>
      </c>
      <c r="F87" s="38">
        <f>SUM(D87-C87)</f>
        <v>-1</v>
      </c>
    </row>
    <row r="88" spans="1:6" ht="15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33">
        <f>C55+C63+C65+C70+C75+C79+C81+C86+C92</f>
        <v>6462.4937</v>
      </c>
      <c r="D96" s="33">
        <f>D55+D63+D65+D70+D75+D79+D81+D86+D92</f>
        <v>1400.67392</v>
      </c>
      <c r="E96" s="34">
        <f t="shared" si="7"/>
        <v>21.673892231415252</v>
      </c>
      <c r="F96" s="34">
        <f>SUM(D96-C96)</f>
        <v>-5061.8197799999998</v>
      </c>
    </row>
    <row r="97" spans="1:6" s="65" customFormat="1" ht="22.5" customHeight="1">
      <c r="A97" s="63" t="s">
        <v>120</v>
      </c>
      <c r="B97" s="63"/>
      <c r="C97" s="250"/>
      <c r="D97" s="250"/>
    </row>
    <row r="98" spans="1:6" ht="16.5" customHeight="1">
      <c r="A98" s="66" t="s">
        <v>121</v>
      </c>
      <c r="B98" s="66"/>
      <c r="C98" s="250" t="s">
        <v>122</v>
      </c>
      <c r="D98" s="250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  <row r="141" hidden="1"/>
  </sheetData>
  <customSheetViews>
    <customSheetView guid="{A54C432C-6C68-4B53-A75C-446EB3A61B2B}" scale="70" showPageBreaks="1" hiddenRows="1" view="pageBreakPreview" topLeftCell="A68">
      <selection activeCell="C141" sqref="C141:D141"/>
      <pageMargins left="0.7" right="0.7" top="0.75" bottom="0.75" header="0.3" footer="0.3"/>
      <pageSetup paperSize="9" scale="54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4" orientation="portrait" r:id="rId2"/>
    </customSheetView>
    <customSheetView guid="{42584DC0-1D41-4C93-9B38-C388E7B8DAC4}" scale="70" showPageBreaks="1" hiddenRows="1" view="pageBreakPreview">
      <selection activeCell="C141" sqref="C141:D141"/>
      <pageMargins left="0.7" right="0.7" top="0.75" bottom="0.75" header="0.3" footer="0.3"/>
      <pageSetup paperSize="9" scale="54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4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381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4251.0099999999993</v>
      </c>
      <c r="D4" s="5">
        <f>D5+D12+D14+D7+D20+D17</f>
        <v>764.34258</v>
      </c>
      <c r="E4" s="5">
        <f>SUM(D4/C4*100)</f>
        <v>17.980258338606593</v>
      </c>
      <c r="F4" s="5">
        <f>SUM(D4-C4)</f>
        <v>-3486.6674199999993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390.39078999999998</v>
      </c>
      <c r="E5" s="5">
        <f t="shared" ref="E5:E51" si="0">SUM(D5/C5*100)</f>
        <v>24.035881664819602</v>
      </c>
      <c r="F5" s="5">
        <f t="shared" ref="F5:F51" si="1">SUM(D5-C5)</f>
        <v>-1233.8092100000001</v>
      </c>
    </row>
    <row r="6" spans="1:6">
      <c r="A6" s="7">
        <v>1010200001</v>
      </c>
      <c r="B6" s="8" t="s">
        <v>229</v>
      </c>
      <c r="C6" s="91">
        <v>1624.2</v>
      </c>
      <c r="D6" s="10">
        <f>390.39079</f>
        <v>390.39078999999998</v>
      </c>
      <c r="E6" s="9">
        <f t="shared" ref="E6:E11" si="2">SUM(D6/C6*100)</f>
        <v>24.035881664819602</v>
      </c>
      <c r="F6" s="9">
        <f t="shared" si="1"/>
        <v>-1233.8092100000001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81.726560000000006</v>
      </c>
      <c r="E7" s="9">
        <f t="shared" si="2"/>
        <v>23.343109308503042</v>
      </c>
      <c r="F7" s="9">
        <f t="shared" si="1"/>
        <v>-268.38344000000001</v>
      </c>
    </row>
    <row r="8" spans="1:6">
      <c r="A8" s="7">
        <v>1030223001</v>
      </c>
      <c r="B8" s="8" t="s">
        <v>283</v>
      </c>
      <c r="C8" s="9">
        <v>130.59</v>
      </c>
      <c r="D8" s="10">
        <v>33.670020000000001</v>
      </c>
      <c r="E8" s="9">
        <f t="shared" si="2"/>
        <v>25.783000229726628</v>
      </c>
      <c r="F8" s="9">
        <f t="shared" si="1"/>
        <v>-96.91998000000001</v>
      </c>
    </row>
    <row r="9" spans="1:6">
      <c r="A9" s="7">
        <v>1030224001</v>
      </c>
      <c r="B9" s="8" t="s">
        <v>289</v>
      </c>
      <c r="C9" s="9">
        <v>1.4</v>
      </c>
      <c r="D9" s="10">
        <v>0.22697000000000001</v>
      </c>
      <c r="E9" s="9">
        <f t="shared" si="2"/>
        <v>16.212142857142858</v>
      </c>
      <c r="F9" s="9">
        <f t="shared" si="1"/>
        <v>-1.1730299999999998</v>
      </c>
    </row>
    <row r="10" spans="1:6">
      <c r="A10" s="7">
        <v>1030225001</v>
      </c>
      <c r="B10" s="8" t="s">
        <v>282</v>
      </c>
      <c r="C10" s="9">
        <v>218.12</v>
      </c>
      <c r="D10" s="10">
        <v>54.845509999999997</v>
      </c>
      <c r="E10" s="9">
        <f t="shared" si="2"/>
        <v>25.144649734091324</v>
      </c>
      <c r="F10" s="9">
        <f t="shared" si="1"/>
        <v>-163.27449000000001</v>
      </c>
    </row>
    <row r="11" spans="1:6">
      <c r="A11" s="7">
        <v>1030226001</v>
      </c>
      <c r="B11" s="8" t="s">
        <v>291</v>
      </c>
      <c r="C11" s="9">
        <v>0</v>
      </c>
      <c r="D11" s="10">
        <v>-7.0159399999999996</v>
      </c>
      <c r="E11" s="9" t="e">
        <f t="shared" si="2"/>
        <v>#DIV/0!</v>
      </c>
      <c r="F11" s="9">
        <f t="shared" si="1"/>
        <v>-7.0159399999999996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50</v>
      </c>
      <c r="D12" s="5">
        <f>SUM(D13:D13)</f>
        <v>62.442570000000003</v>
      </c>
      <c r="E12" s="5">
        <f t="shared" si="0"/>
        <v>124.88514000000002</v>
      </c>
      <c r="F12" s="5">
        <f t="shared" si="1"/>
        <v>12.442570000000003</v>
      </c>
    </row>
    <row r="13" spans="1:6" ht="15.75" customHeight="1">
      <c r="A13" s="7">
        <v>1050300000</v>
      </c>
      <c r="B13" s="11" t="s">
        <v>230</v>
      </c>
      <c r="C13" s="12">
        <v>50</v>
      </c>
      <c r="D13" s="10">
        <f>62.44257</f>
        <v>62.442570000000003</v>
      </c>
      <c r="E13" s="9">
        <f t="shared" si="0"/>
        <v>124.88514000000002</v>
      </c>
      <c r="F13" s="9">
        <f t="shared" si="1"/>
        <v>12.442570000000003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229.78265999999999</v>
      </c>
      <c r="E14" s="5">
        <f t="shared" si="0"/>
        <v>10.319426056496161</v>
      </c>
      <c r="F14" s="5">
        <f t="shared" si="1"/>
        <v>-1996.9173399999997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15.850440000000001</v>
      </c>
      <c r="E15" s="9">
        <f t="shared" si="0"/>
        <v>2.8818981818181819</v>
      </c>
      <c r="F15" s="9">
        <f>SUM(D15-C15)</f>
        <v>-534.14955999999995</v>
      </c>
    </row>
    <row r="16" spans="1:6" ht="15" customHeight="1">
      <c r="A16" s="7">
        <v>1060600000</v>
      </c>
      <c r="B16" s="11" t="s">
        <v>8</v>
      </c>
      <c r="C16" s="9">
        <v>1676.7</v>
      </c>
      <c r="D16" s="10">
        <f>213.93222</f>
        <v>213.93222</v>
      </c>
      <c r="E16" s="9">
        <f t="shared" si="0"/>
        <v>12.759123277867237</v>
      </c>
      <c r="F16" s="9">
        <f t="shared" si="1"/>
        <v>-1462.7677800000001</v>
      </c>
    </row>
    <row r="17" spans="1:6" s="6" customFormat="1" ht="24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25.5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10</v>
      </c>
      <c r="D25" s="5">
        <f>D26+D29+D31+D34+D36</f>
        <v>4.7461099999999998</v>
      </c>
      <c r="E25" s="5">
        <f t="shared" si="0"/>
        <v>47.461100000000002</v>
      </c>
      <c r="F25" s="5">
        <f t="shared" si="1"/>
        <v>-5.2538900000000002</v>
      </c>
    </row>
    <row r="26" spans="1:6" s="6" customFormat="1" ht="15" customHeight="1">
      <c r="A26" s="68">
        <v>1110000000</v>
      </c>
      <c r="B26" s="69" t="s">
        <v>129</v>
      </c>
      <c r="C26" s="5">
        <f>C27+C28</f>
        <v>10</v>
      </c>
      <c r="D26" s="5">
        <f>D27+D28</f>
        <v>0</v>
      </c>
      <c r="E26" s="5">
        <f t="shared" si="0"/>
        <v>0</v>
      </c>
      <c r="F26" s="5">
        <f t="shared" si="1"/>
        <v>-10</v>
      </c>
    </row>
    <row r="27" spans="1:6" ht="17.25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20.25" customHeight="1">
      <c r="A28" s="7">
        <v>1110503505</v>
      </c>
      <c r="B28" s="11" t="s">
        <v>225</v>
      </c>
      <c r="C28" s="12">
        <v>10</v>
      </c>
      <c r="D28" s="10">
        <v>0</v>
      </c>
      <c r="E28" s="9">
        <f t="shared" si="0"/>
        <v>0</v>
      </c>
      <c r="F28" s="9">
        <f t="shared" si="1"/>
        <v>-10</v>
      </c>
    </row>
    <row r="29" spans="1:6" s="15" customFormat="1" ht="34.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1.75" customHeight="1">
      <c r="A30" s="7">
        <v>1130206005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8.7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7.75" customHeight="1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60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4.7461099999999998</v>
      </c>
      <c r="E36" s="5">
        <v>0</v>
      </c>
      <c r="F36" s="5">
        <f t="shared" si="1"/>
        <v>4.7461099999999998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4.7461099999999998</v>
      </c>
      <c r="E38" s="9">
        <v>0</v>
      </c>
      <c r="F38" s="9">
        <f t="shared" si="1"/>
        <v>4.7461099999999998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4261.0099999999993</v>
      </c>
      <c r="D39" s="127">
        <f>D4+D25</f>
        <v>769.08869000000004</v>
      </c>
      <c r="E39" s="5">
        <f t="shared" si="0"/>
        <v>18.049445788674522</v>
      </c>
      <c r="F39" s="5">
        <f t="shared" si="1"/>
        <v>-3491.9213099999993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5250.7150000000011</v>
      </c>
      <c r="D40" s="5">
        <f>D41+D43+D45+D46+D47+D49+D42</f>
        <v>1497.9280000000001</v>
      </c>
      <c r="E40" s="5">
        <f t="shared" si="0"/>
        <v>28.528076652417809</v>
      </c>
      <c r="F40" s="5">
        <f t="shared" si="1"/>
        <v>-3752.7870000000012</v>
      </c>
      <c r="G40" s="19"/>
    </row>
    <row r="41" spans="1:7" ht="17.25" customHeight="1">
      <c r="A41" s="16">
        <v>2021000000</v>
      </c>
      <c r="B41" s="17" t="s">
        <v>21</v>
      </c>
      <c r="C41" s="12">
        <v>4496.6850000000004</v>
      </c>
      <c r="D41" s="20">
        <v>1497.9280000000001</v>
      </c>
      <c r="E41" s="9">
        <f t="shared" si="0"/>
        <v>33.311828602626157</v>
      </c>
      <c r="F41" s="9">
        <f t="shared" si="1"/>
        <v>-2998.7570000000005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5" customHeight="1">
      <c r="A43" s="16">
        <v>2022000000</v>
      </c>
      <c r="B43" s="17" t="s">
        <v>22</v>
      </c>
      <c r="C43" s="288">
        <v>622.73</v>
      </c>
      <c r="D43" s="10">
        <v>0</v>
      </c>
      <c r="E43" s="9">
        <f t="shared" si="0"/>
        <v>0</v>
      </c>
      <c r="F43" s="9">
        <f t="shared" si="1"/>
        <v>-622.73</v>
      </c>
    </row>
    <row r="44" spans="1:7" ht="0.75" customHeight="1">
      <c r="A44" s="16">
        <v>2022999910</v>
      </c>
      <c r="B44" s="18" t="s">
        <v>352</v>
      </c>
      <c r="C44" s="288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9.5" customHeight="1">
      <c r="A45" s="16">
        <v>2023000000</v>
      </c>
      <c r="B45" s="17" t="s">
        <v>23</v>
      </c>
      <c r="C45" s="12">
        <v>11</v>
      </c>
      <c r="D45" s="252">
        <v>0</v>
      </c>
      <c r="E45" s="9">
        <f t="shared" si="0"/>
        <v>0</v>
      </c>
      <c r="F45" s="9">
        <f t="shared" si="1"/>
        <v>-11</v>
      </c>
    </row>
    <row r="46" spans="1:7" ht="16.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47.25">
      <c r="A47" s="16">
        <v>2020900000</v>
      </c>
      <c r="B47" s="18" t="s">
        <v>25</v>
      </c>
      <c r="C47" s="12"/>
      <c r="D47" s="253"/>
      <c r="E47" s="9" t="e">
        <f>SUM(D47/C47*100)</f>
        <v>#DIV/0!</v>
      </c>
      <c r="F47" s="9">
        <f>SUM(D47-C47)</f>
        <v>0</v>
      </c>
    </row>
    <row r="48" spans="1:7">
      <c r="A48" s="7">
        <v>2070500010</v>
      </c>
      <c r="B48" s="18" t="s">
        <v>298</v>
      </c>
      <c r="C48" s="12">
        <v>120.3</v>
      </c>
      <c r="D48" s="253">
        <v>0</v>
      </c>
      <c r="E48" s="9">
        <f>SUM(D48/C48*100)</f>
        <v>0</v>
      </c>
      <c r="F48" s="9">
        <f>SUM(D48-C48)</f>
        <v>-120.3</v>
      </c>
    </row>
    <row r="49" spans="1:6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6" s="6" customFormat="1" ht="31.5">
      <c r="A50" s="3">
        <v>3000000000</v>
      </c>
      <c r="B50" s="13" t="s">
        <v>27</v>
      </c>
      <c r="C50" s="286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6" s="6" customFormat="1" ht="15" customHeight="1">
      <c r="A51" s="3"/>
      <c r="B51" s="4" t="s">
        <v>28</v>
      </c>
      <c r="C51" s="289">
        <f>SUM(C39,C40,C50)</f>
        <v>9511.7250000000004</v>
      </c>
      <c r="D51" s="362">
        <f>D39+D40</f>
        <v>2267.0166900000004</v>
      </c>
      <c r="E51" s="93">
        <f t="shared" si="0"/>
        <v>23.833917507076798</v>
      </c>
      <c r="F51" s="93">
        <f t="shared" si="1"/>
        <v>-7244.70831</v>
      </c>
    </row>
    <row r="52" spans="1:6" s="6" customFormat="1" ht="23.25" customHeight="1">
      <c r="A52" s="3"/>
      <c r="B52" s="21" t="s">
        <v>321</v>
      </c>
      <c r="C52" s="289">
        <f>C51-C97</f>
        <v>-50.512169999999969</v>
      </c>
      <c r="D52" s="289">
        <f>D51-D97</f>
        <v>400.82523000000037</v>
      </c>
      <c r="E52" s="290"/>
      <c r="F52" s="290"/>
    </row>
    <row r="53" spans="1:6">
      <c r="A53" s="23"/>
      <c r="B53" s="24"/>
      <c r="C53" s="25"/>
      <c r="D53" s="25"/>
      <c r="E53" s="26"/>
      <c r="F53" s="27"/>
    </row>
    <row r="54" spans="1:6" ht="32.25" customHeight="1">
      <c r="A54" s="28" t="s">
        <v>1</v>
      </c>
      <c r="B54" s="28" t="s">
        <v>29</v>
      </c>
      <c r="C54" s="249" t="s">
        <v>346</v>
      </c>
      <c r="D54" s="73" t="s">
        <v>360</v>
      </c>
      <c r="E54" s="72" t="s">
        <v>3</v>
      </c>
      <c r="F54" s="74" t="s">
        <v>4</v>
      </c>
    </row>
    <row r="55" spans="1:6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6" s="6" customFormat="1" ht="15" customHeight="1">
      <c r="A56" s="30" t="s">
        <v>30</v>
      </c>
      <c r="B56" s="31" t="s">
        <v>31</v>
      </c>
      <c r="C56" s="32">
        <f>C57+C58+C59+C60+C61+C63+C62+C65</f>
        <v>1721.7759999999998</v>
      </c>
      <c r="D56" s="33">
        <f>D57+D58+D59+D60+D61+D63+D62</f>
        <v>324.25083000000001</v>
      </c>
      <c r="E56" s="34">
        <f>SUM(D56/C56*100)</f>
        <v>18.83234694873201</v>
      </c>
      <c r="F56" s="34">
        <f>SUM(D56-C56)</f>
        <v>-1397.5251699999999</v>
      </c>
    </row>
    <row r="57" spans="1:6" s="6" customFormat="1" ht="0.75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6" ht="16.5" customHeight="1">
      <c r="A58" s="35" t="s">
        <v>34</v>
      </c>
      <c r="B58" s="39" t="s">
        <v>35</v>
      </c>
      <c r="C58" s="97">
        <v>1693.9849999999999</v>
      </c>
      <c r="D58" s="37">
        <v>324.25083000000001</v>
      </c>
      <c r="E58" s="38">
        <f t="shared" ref="E58:E97" si="3">SUM(D58/C58*100)</f>
        <v>19.141304675070913</v>
      </c>
      <c r="F58" s="38">
        <f t="shared" ref="F58:F97" si="4">SUM(D58-C58)</f>
        <v>-1369.7341699999999</v>
      </c>
    </row>
    <row r="59" spans="1:6" ht="15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6" ht="17.25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6" ht="17.25" customHeight="1">
      <c r="A61" s="35" t="s">
        <v>40</v>
      </c>
      <c r="B61" s="39" t="s">
        <v>41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6" ht="18" customHeight="1">
      <c r="A62" s="35" t="s">
        <v>42</v>
      </c>
      <c r="B62" s="39" t="s">
        <v>43</v>
      </c>
      <c r="C62" s="149">
        <v>20</v>
      </c>
      <c r="D62" s="40">
        <v>0</v>
      </c>
      <c r="E62" s="38">
        <f t="shared" si="3"/>
        <v>0</v>
      </c>
      <c r="F62" s="38">
        <f t="shared" si="4"/>
        <v>-20</v>
      </c>
    </row>
    <row r="63" spans="1:6" ht="16.5" customHeight="1">
      <c r="A63" s="35" t="s">
        <v>44</v>
      </c>
      <c r="B63" s="39" t="s">
        <v>45</v>
      </c>
      <c r="C63" s="97">
        <v>7.7910000000000004</v>
      </c>
      <c r="D63" s="37">
        <v>0</v>
      </c>
      <c r="E63" s="38">
        <f t="shared" si="3"/>
        <v>0</v>
      </c>
      <c r="F63" s="38">
        <f t="shared" si="4"/>
        <v>-7.7910000000000004</v>
      </c>
    </row>
    <row r="64" spans="1:6" s="6" customFormat="1" ht="15.75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22.5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30</v>
      </c>
      <c r="D66" s="150">
        <f>D69+D70</f>
        <v>0</v>
      </c>
      <c r="E66" s="34">
        <f t="shared" si="3"/>
        <v>0</v>
      </c>
      <c r="F66" s="34">
        <f t="shared" si="4"/>
        <v>-30</v>
      </c>
    </row>
    <row r="67" spans="1:7" ht="6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20</v>
      </c>
      <c r="D69" s="37">
        <v>0</v>
      </c>
      <c r="E69" s="34">
        <f t="shared" si="3"/>
        <v>0</v>
      </c>
      <c r="F69" s="34">
        <f t="shared" si="4"/>
        <v>-20</v>
      </c>
    </row>
    <row r="70" spans="1:7" ht="17.25" customHeight="1">
      <c r="A70" s="46" t="s">
        <v>219</v>
      </c>
      <c r="B70" s="47" t="s">
        <v>220</v>
      </c>
      <c r="C70" s="9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1670.46117</v>
      </c>
      <c r="D71" s="48">
        <f>SUM(D72:D75)</f>
        <v>162.94266999999999</v>
      </c>
      <c r="E71" s="34">
        <f t="shared" si="3"/>
        <v>9.7543524462768563</v>
      </c>
      <c r="F71" s="34">
        <f t="shared" si="4"/>
        <v>-1507.5185000000001</v>
      </c>
    </row>
    <row r="72" spans="1:7" ht="15" customHeight="1">
      <c r="A72" s="35" t="s">
        <v>60</v>
      </c>
      <c r="B72" s="39" t="s">
        <v>61</v>
      </c>
      <c r="C72" s="49">
        <f>11+29</f>
        <v>40</v>
      </c>
      <c r="D72" s="37">
        <v>0</v>
      </c>
      <c r="E72" s="38">
        <f t="shared" si="3"/>
        <v>0</v>
      </c>
      <c r="F72" s="38">
        <f t="shared" si="4"/>
        <v>-40</v>
      </c>
    </row>
    <row r="73" spans="1:7" s="6" customFormat="1" ht="15.75" customHeight="1">
      <c r="A73" s="35" t="s">
        <v>62</v>
      </c>
      <c r="B73" s="39" t="s">
        <v>63</v>
      </c>
      <c r="C73" s="49">
        <f>191.809+25</f>
        <v>216.809</v>
      </c>
      <c r="D73" s="37">
        <v>26.926290000000002</v>
      </c>
      <c r="E73" s="38">
        <f t="shared" si="3"/>
        <v>12.419359897421234</v>
      </c>
      <c r="F73" s="38">
        <f t="shared" si="4"/>
        <v>-189.88271</v>
      </c>
      <c r="G73" s="50"/>
    </row>
    <row r="74" spans="1:7" ht="15" customHeight="1">
      <c r="A74" s="35" t="s">
        <v>64</v>
      </c>
      <c r="B74" s="39" t="s">
        <v>65</v>
      </c>
      <c r="C74" s="49">
        <f>511.95217+601.7</f>
        <v>1113.6521700000001</v>
      </c>
      <c r="D74" s="37">
        <v>73.516379999999998</v>
      </c>
      <c r="E74" s="38">
        <f t="shared" si="3"/>
        <v>6.6013771606982088</v>
      </c>
      <c r="F74" s="38">
        <f t="shared" si="4"/>
        <v>-1040.13579</v>
      </c>
    </row>
    <row r="75" spans="1:7" ht="18" customHeight="1">
      <c r="A75" s="35" t="s">
        <v>66</v>
      </c>
      <c r="B75" s="39" t="s">
        <v>67</v>
      </c>
      <c r="C75" s="49">
        <v>300</v>
      </c>
      <c r="D75" s="37">
        <v>62.5</v>
      </c>
      <c r="E75" s="38">
        <f t="shared" si="3"/>
        <v>20.833333333333336</v>
      </c>
      <c r="F75" s="38">
        <f t="shared" si="4"/>
        <v>-237.5</v>
      </c>
    </row>
    <row r="76" spans="1:7" s="6" customFormat="1" ht="16.5" customHeight="1">
      <c r="A76" s="30" t="s">
        <v>68</v>
      </c>
      <c r="B76" s="31" t="s">
        <v>69</v>
      </c>
      <c r="C76" s="32">
        <f>C77+C78+C79+C82</f>
        <v>3740.7000000000003</v>
      </c>
      <c r="D76" s="32">
        <f>D77+D78+D79+D82</f>
        <v>784.99796000000003</v>
      </c>
      <c r="E76" s="34">
        <f t="shared" si="3"/>
        <v>20.985322533215708</v>
      </c>
      <c r="F76" s="34">
        <f t="shared" si="4"/>
        <v>-2955.7020400000001</v>
      </c>
    </row>
    <row r="77" spans="1:7" ht="18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f>1300+60+1785.55+60+535.15</f>
        <v>3740.7000000000003</v>
      </c>
      <c r="D79" s="37">
        <v>784.99796000000003</v>
      </c>
      <c r="E79" s="38">
        <f t="shared" si="3"/>
        <v>20.985322533215708</v>
      </c>
      <c r="F79" s="38">
        <f t="shared" si="4"/>
        <v>-2955.7020400000001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594</v>
      </c>
      <c r="E80" s="38">
        <f t="shared" si="3"/>
        <v>25.017900012635302</v>
      </c>
      <c r="F80" s="38">
        <f t="shared" si="4"/>
        <v>-1780.3000000000002</v>
      </c>
    </row>
    <row r="81" spans="1:6" ht="17.25" customHeight="1">
      <c r="A81" s="35" t="s">
        <v>88</v>
      </c>
      <c r="B81" s="39" t="s">
        <v>234</v>
      </c>
      <c r="C81" s="37">
        <v>2374.3000000000002</v>
      </c>
      <c r="D81" s="37">
        <v>594</v>
      </c>
      <c r="E81" s="38">
        <f t="shared" si="3"/>
        <v>25.017900012635302</v>
      </c>
      <c r="F81" s="38">
        <f t="shared" si="4"/>
        <v>-1780.3000000000002</v>
      </c>
    </row>
    <row r="82" spans="1:6" ht="15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25</v>
      </c>
      <c r="D88" s="32">
        <f>D89+D90+D91+D92+D93</f>
        <v>0</v>
      </c>
      <c r="E88" s="38">
        <f t="shared" si="3"/>
        <v>0</v>
      </c>
      <c r="F88" s="22">
        <f>F89+F90+F91+F92+F93</f>
        <v>-25</v>
      </c>
    </row>
    <row r="89" spans="1:6" ht="15.75" customHeight="1">
      <c r="A89" s="35" t="s">
        <v>97</v>
      </c>
      <c r="B89" s="39" t="s">
        <v>98</v>
      </c>
      <c r="C89" s="37">
        <v>25</v>
      </c>
      <c r="D89" s="37">
        <v>0</v>
      </c>
      <c r="E89" s="38">
        <f t="shared" si="3"/>
        <v>0</v>
      </c>
      <c r="F89" s="38">
        <f>SUM(D89-C89)</f>
        <v>-25</v>
      </c>
    </row>
    <row r="90" spans="1:6" ht="15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57.75" customHeight="1">
      <c r="A95" s="53">
        <v>1402</v>
      </c>
      <c r="B95" s="54" t="s">
        <v>117</v>
      </c>
      <c r="C95" s="240"/>
      <c r="D95" s="241"/>
      <c r="E95" s="38" t="e">
        <f t="shared" si="3"/>
        <v>#DIV/0!</v>
      </c>
      <c r="F95" s="38">
        <f t="shared" si="4"/>
        <v>0</v>
      </c>
    </row>
    <row r="96" spans="1:6" ht="15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s="6" customFormat="1" ht="16.5" customHeight="1">
      <c r="A97" s="52"/>
      <c r="B97" s="57" t="s">
        <v>119</v>
      </c>
      <c r="C97" s="33">
        <f>C56+C71+C76+C83+C88+C94+C66+C80</f>
        <v>9562.2371700000003</v>
      </c>
      <c r="D97" s="33">
        <f>D56+D71+D76+D83+D88+D94+D66+D80</f>
        <v>1866.19146</v>
      </c>
      <c r="E97" s="34">
        <f t="shared" si="3"/>
        <v>19.516264100360104</v>
      </c>
      <c r="F97" s="34">
        <f t="shared" si="4"/>
        <v>-7696.0457100000003</v>
      </c>
    </row>
    <row r="98" spans="1:6" ht="20.25" customHeight="1">
      <c r="D98" s="246"/>
    </row>
    <row r="99" spans="1:6" s="65" customFormat="1" ht="13.5" customHeight="1">
      <c r="A99" s="63" t="s">
        <v>120</v>
      </c>
      <c r="B99" s="63"/>
      <c r="C99" s="119"/>
      <c r="D99" s="64"/>
    </row>
    <row r="100" spans="1:6" s="65" customFormat="1" ht="12.75">
      <c r="A100" s="66" t="s">
        <v>121</v>
      </c>
      <c r="B100" s="66"/>
      <c r="C100" s="134" t="s">
        <v>122</v>
      </c>
      <c r="D100" s="134"/>
    </row>
    <row r="101" spans="1:6" ht="5.25" customHeight="1"/>
    <row r="141" hidden="1"/>
  </sheetData>
  <customSheetViews>
    <customSheetView guid="{A54C432C-6C68-4B53-A75C-446EB3A61B2B}" scale="70" showPageBreaks="1" printArea="1" hiddenRows="1" view="pageBreakPreview" topLeftCell="A69">
      <selection activeCell="C141" sqref="C141:D141"/>
      <pageMargins left="0.7" right="0.7" top="0.75" bottom="0.75" header="0.3" footer="0.3"/>
      <pageSetup paperSize="9" scale="50" orientation="portrait" r:id="rId1"/>
    </customSheetView>
    <customSheetView guid="{5BFCA170-DEAE-4D2C-98A0-1E68B427AC01}" scale="70" showPageBreaks="1" printArea="1" hiddenRows="1" view="pageBreakPreview">
      <selection activeCell="A2" sqref="A2:F2"/>
      <pageMargins left="0.7" right="0.7" top="0.75" bottom="0.75" header="0.3" footer="0.3"/>
      <pageSetup paperSize="9" scale="50" orientation="portrait" r:id="rId2"/>
    </customSheetView>
    <customSheetView guid="{42584DC0-1D41-4C93-9B38-C388E7B8DAC4}" scale="70" showPageBreaks="1" printArea="1" hiddenRows="1" view="pageBreakPreview">
      <selection activeCell="C141" sqref="C141:D141"/>
      <pageMargins left="0.7" right="0.7" top="0.75" bottom="0.75" header="0.3" footer="0.3"/>
      <pageSetup paperSize="9" scale="50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0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1"/>
  <sheetViews>
    <sheetView tabSelected="1" view="pageBreakPreview" zoomScale="70" zoomScaleSheetLayoutView="70" workbookViewId="0">
      <selection activeCell="C141" sqref="C141:D14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1.28515625" style="62" customWidth="1"/>
    <col min="6" max="6" width="13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37" t="s">
        <v>380</v>
      </c>
      <c r="B1" s="437"/>
      <c r="C1" s="437"/>
      <c r="D1" s="437"/>
      <c r="E1" s="437"/>
      <c r="F1" s="437"/>
    </row>
    <row r="2" spans="1:6">
      <c r="A2" s="437"/>
      <c r="B2" s="437"/>
      <c r="C2" s="437"/>
      <c r="D2" s="437"/>
      <c r="E2" s="437"/>
      <c r="F2" s="437"/>
    </row>
    <row r="3" spans="1:6" ht="63">
      <c r="A3" s="2" t="s">
        <v>1</v>
      </c>
      <c r="B3" s="2" t="s">
        <v>2</v>
      </c>
      <c r="C3" s="72" t="s">
        <v>346</v>
      </c>
      <c r="D3" s="73" t="s">
        <v>364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4481.7</v>
      </c>
      <c r="D4" s="5">
        <f>D5+D12+D14+D17+D20+D7</f>
        <v>759.20235000000002</v>
      </c>
      <c r="E4" s="5">
        <f>SUM(D4/C4*100)</f>
        <v>16.940052881718991</v>
      </c>
      <c r="F4" s="5">
        <f>SUM(D4-C4)</f>
        <v>-3722.4976499999998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292.29874000000001</v>
      </c>
      <c r="E5" s="5">
        <f t="shared" ref="E5:E51" si="0">SUM(D5/C5*100)</f>
        <v>22.314584319413694</v>
      </c>
      <c r="F5" s="5">
        <f t="shared" ref="F5:F51" si="1">SUM(D5-C5)</f>
        <v>-1017.6012600000001</v>
      </c>
    </row>
    <row r="6" spans="1:6">
      <c r="A6" s="7">
        <v>1010200001</v>
      </c>
      <c r="B6" s="8" t="s">
        <v>229</v>
      </c>
      <c r="C6" s="9">
        <v>1309.9000000000001</v>
      </c>
      <c r="D6" s="10">
        <v>292.29874000000001</v>
      </c>
      <c r="E6" s="9">
        <f t="shared" ref="E6:E11" si="2">SUM(D6/C6*100)</f>
        <v>22.314584319413694</v>
      </c>
      <c r="F6" s="9">
        <f t="shared" si="1"/>
        <v>-1017.6012600000001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154.48309999999998</v>
      </c>
      <c r="E7" s="9">
        <f t="shared" si="2"/>
        <v>23.342867935932304</v>
      </c>
      <c r="F7" s="9">
        <f t="shared" si="1"/>
        <v>-507.31689999999998</v>
      </c>
    </row>
    <row r="8" spans="1:6">
      <c r="A8" s="7">
        <v>1030223001</v>
      </c>
      <c r="B8" s="8" t="s">
        <v>283</v>
      </c>
      <c r="C8" s="9">
        <v>246.85</v>
      </c>
      <c r="D8" s="10">
        <v>63.644530000000003</v>
      </c>
      <c r="E8" s="9">
        <f t="shared" si="2"/>
        <v>25.782673688474784</v>
      </c>
      <c r="F8" s="9">
        <f t="shared" si="1"/>
        <v>-183.20546999999999</v>
      </c>
    </row>
    <row r="9" spans="1:6">
      <c r="A9" s="7">
        <v>1030224001</v>
      </c>
      <c r="B9" s="8" t="s">
        <v>289</v>
      </c>
      <c r="C9" s="9">
        <v>2.65</v>
      </c>
      <c r="D9" s="10">
        <v>0.42903999999999998</v>
      </c>
      <c r="E9" s="9">
        <f t="shared" si="2"/>
        <v>16.190188679245281</v>
      </c>
      <c r="F9" s="9">
        <f t="shared" si="1"/>
        <v>-2.2209599999999998</v>
      </c>
    </row>
    <row r="10" spans="1:6">
      <c r="A10" s="7">
        <v>1030225001</v>
      </c>
      <c r="B10" s="8" t="s">
        <v>282</v>
      </c>
      <c r="C10" s="9">
        <v>412.3</v>
      </c>
      <c r="D10" s="10">
        <v>103.67138</v>
      </c>
      <c r="E10" s="9">
        <f t="shared" si="2"/>
        <v>25.144647101625029</v>
      </c>
      <c r="F10" s="9">
        <f t="shared" si="1"/>
        <v>-308.62862000000001</v>
      </c>
    </row>
    <row r="11" spans="1:6">
      <c r="A11" s="7">
        <v>1030226001</v>
      </c>
      <c r="B11" s="8" t="s">
        <v>292</v>
      </c>
      <c r="C11" s="9">
        <v>0</v>
      </c>
      <c r="D11" s="10">
        <v>-13.261850000000001</v>
      </c>
      <c r="E11" s="9" t="e">
        <f t="shared" si="2"/>
        <v>#DIV/0!</v>
      </c>
      <c r="F11" s="9">
        <f t="shared" si="1"/>
        <v>-13.261850000000001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2490</v>
      </c>
      <c r="D14" s="5">
        <f>D15+D16</f>
        <v>280.87810999999999</v>
      </c>
      <c r="E14" s="5">
        <f t="shared" si="0"/>
        <v>11.280245381526104</v>
      </c>
      <c r="F14" s="5">
        <f t="shared" si="1"/>
        <v>-2209.1218899999999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2.92292</v>
      </c>
      <c r="E15" s="9">
        <f t="shared" si="0"/>
        <v>1.5383789473684211</v>
      </c>
      <c r="F15" s="9">
        <f>SUM(D15-C15)</f>
        <v>-187.07708</v>
      </c>
    </row>
    <row r="16" spans="1:6" ht="15.75" customHeight="1">
      <c r="A16" s="7">
        <v>1060600000</v>
      </c>
      <c r="B16" s="11" t="s">
        <v>8</v>
      </c>
      <c r="C16" s="9">
        <v>2300</v>
      </c>
      <c r="D16" s="10">
        <v>277.95519000000002</v>
      </c>
      <c r="E16" s="9">
        <f t="shared" si="0"/>
        <v>12.085008260869566</v>
      </c>
      <c r="F16" s="9">
        <f t="shared" si="1"/>
        <v>-2022.0448099999999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3.1</v>
      </c>
      <c r="E17" s="5">
        <f t="shared" si="0"/>
        <v>31</v>
      </c>
      <c r="F17" s="5">
        <f t="shared" si="1"/>
        <v>-6.9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3.1</v>
      </c>
      <c r="E18" s="9">
        <f t="shared" si="0"/>
        <v>31</v>
      </c>
      <c r="F18" s="9">
        <f t="shared" si="1"/>
        <v>-6.9</v>
      </c>
    </row>
    <row r="19" spans="1:6" ht="15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-0.25339</v>
      </c>
      <c r="E25" s="5">
        <f t="shared" si="0"/>
        <v>-12.669499999999999</v>
      </c>
      <c r="F25" s="5">
        <f t="shared" si="1"/>
        <v>-2.25339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2.25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-0.25339</v>
      </c>
      <c r="E36" s="5" t="e">
        <f t="shared" si="0"/>
        <v>#DIV/0!</v>
      </c>
      <c r="F36" s="5">
        <f t="shared" si="1"/>
        <v>-0.25339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-0.25339</v>
      </c>
      <c r="E37" s="9" t="e">
        <f t="shared" si="0"/>
        <v>#DIV/0!</v>
      </c>
      <c r="F37" s="9">
        <f t="shared" si="1"/>
        <v>-0.25339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4483.7</v>
      </c>
      <c r="D39" s="127">
        <f>SUM(D4,D25)</f>
        <v>758.94896000000006</v>
      </c>
      <c r="E39" s="5">
        <f t="shared" si="0"/>
        <v>16.9268452394228</v>
      </c>
      <c r="F39" s="5">
        <f t="shared" si="1"/>
        <v>-3724.7510399999996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1765.7579999999998</v>
      </c>
      <c r="D40" s="5">
        <f>D41+D43+D45+D46+D47+D48+D42+D44+D50</f>
        <v>38.558999999999997</v>
      </c>
      <c r="E40" s="5">
        <f t="shared" si="0"/>
        <v>2.1837080732467302</v>
      </c>
      <c r="F40" s="5">
        <f t="shared" si="1"/>
        <v>-1727.1989999999998</v>
      </c>
      <c r="G40" s="19"/>
    </row>
    <row r="41" spans="1:7" ht="18.75" customHeight="1">
      <c r="A41" s="16">
        <v>2021000000</v>
      </c>
      <c r="B41" s="17" t="s">
        <v>21</v>
      </c>
      <c r="C41" s="12">
        <v>19.957000000000001</v>
      </c>
      <c r="D41" s="20">
        <v>2.2999999999999998</v>
      </c>
      <c r="E41" s="9">
        <f t="shared" si="0"/>
        <v>11.524778273287566</v>
      </c>
      <c r="F41" s="9">
        <f t="shared" si="1"/>
        <v>-17.657</v>
      </c>
    </row>
    <row r="42" spans="1:7" ht="18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7.25" customHeight="1">
      <c r="A43" s="16">
        <v>2022000000</v>
      </c>
      <c r="B43" s="17" t="s">
        <v>22</v>
      </c>
      <c r="C43" s="12">
        <v>1317.62</v>
      </c>
      <c r="D43" s="10">
        <v>0</v>
      </c>
      <c r="E43" s="9">
        <f t="shared" si="0"/>
        <v>0</v>
      </c>
      <c r="F43" s="9">
        <f t="shared" si="1"/>
        <v>-1317.62</v>
      </c>
    </row>
    <row r="44" spans="1:7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8" customHeight="1">
      <c r="A45" s="16">
        <v>2023000000</v>
      </c>
      <c r="B45" s="17" t="s">
        <v>23</v>
      </c>
      <c r="C45" s="12">
        <v>153.28100000000001</v>
      </c>
      <c r="D45" s="252">
        <v>36.259</v>
      </c>
      <c r="E45" s="9">
        <f t="shared" si="0"/>
        <v>23.655247551881835</v>
      </c>
      <c r="F45" s="9">
        <f t="shared" si="1"/>
        <v>-117.02200000000001</v>
      </c>
    </row>
    <row r="46" spans="1:7" ht="16.5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2.5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1.75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19.5" customHeight="1">
      <c r="A49" s="3">
        <v>3000000000</v>
      </c>
      <c r="B49" s="13" t="s">
        <v>27</v>
      </c>
      <c r="C49" s="286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354</v>
      </c>
      <c r="C50" s="12">
        <v>274.89999999999998</v>
      </c>
      <c r="D50" s="10">
        <v>0</v>
      </c>
      <c r="E50" s="9">
        <f t="shared" si="0"/>
        <v>0</v>
      </c>
      <c r="F50" s="9">
        <f t="shared" si="1"/>
        <v>-274.89999999999998</v>
      </c>
    </row>
    <row r="51" spans="1:7" s="6" customFormat="1" ht="15.75" customHeight="1">
      <c r="A51" s="3"/>
      <c r="B51" s="4" t="s">
        <v>28</v>
      </c>
      <c r="C51" s="289">
        <f>C39+C40</f>
        <v>6249.4579999999996</v>
      </c>
      <c r="D51" s="362">
        <f>D39+D40</f>
        <v>797.50796000000003</v>
      </c>
      <c r="E51" s="5">
        <f t="shared" si="0"/>
        <v>12.761234014213713</v>
      </c>
      <c r="F51" s="5">
        <f t="shared" si="1"/>
        <v>-5451.9500399999997</v>
      </c>
      <c r="G51" s="94"/>
    </row>
    <row r="52" spans="1:7" s="6" customFormat="1">
      <c r="A52" s="3"/>
      <c r="B52" s="21" t="s">
        <v>322</v>
      </c>
      <c r="C52" s="289">
        <f>C51-C101</f>
        <v>-328.24600999999984</v>
      </c>
      <c r="D52" s="289">
        <f>D51-D101</f>
        <v>-170.27488000000005</v>
      </c>
      <c r="E52" s="22"/>
      <c r="F52" s="22"/>
    </row>
    <row r="53" spans="1:7">
      <c r="A53" s="23"/>
      <c r="B53" s="24"/>
      <c r="C53" s="251"/>
      <c r="D53" s="251"/>
      <c r="E53" s="26"/>
      <c r="F53" s="92"/>
    </row>
    <row r="54" spans="1:7" ht="42.75" customHeight="1">
      <c r="A54" s="28" t="s">
        <v>1</v>
      </c>
      <c r="B54" s="28" t="s">
        <v>29</v>
      </c>
      <c r="C54" s="244" t="s">
        <v>346</v>
      </c>
      <c r="D54" s="245" t="s">
        <v>360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32.25" customHeight="1">
      <c r="A56" s="30" t="s">
        <v>30</v>
      </c>
      <c r="B56" s="31" t="s">
        <v>31</v>
      </c>
      <c r="C56" s="247">
        <f>C57+C58+C59+C60+C61+C63+C62</f>
        <v>1759.2569999999998</v>
      </c>
      <c r="D56" s="32">
        <f>D57+D58+D59+D60+D61+D63+D62</f>
        <v>341.94354000000004</v>
      </c>
      <c r="E56" s="34">
        <f>SUM(D56/C56*100)</f>
        <v>19.436815655700109</v>
      </c>
      <c r="F56" s="34">
        <f>SUM(D56-C56)</f>
        <v>-1417.3134599999998</v>
      </c>
    </row>
    <row r="57" spans="1:7" s="6" customFormat="1" ht="31.5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1748.7739999999999</v>
      </c>
      <c r="D58" s="37">
        <v>341.70008000000001</v>
      </c>
      <c r="E58" s="38">
        <f t="shared" ref="E58:E101" si="3">SUM(D58/C58*100)</f>
        <v>19.539407607844126</v>
      </c>
      <c r="F58" s="38">
        <f t="shared" ref="F58:F101" si="4">SUM(D58-C58)</f>
        <v>-1407.0739199999998</v>
      </c>
    </row>
    <row r="59" spans="1:7" ht="16.5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7.2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5.4829999999999997</v>
      </c>
      <c r="D63" s="37">
        <v>0.24346000000000001</v>
      </c>
      <c r="E63" s="38">
        <f t="shared" si="3"/>
        <v>4.4402699252234186</v>
      </c>
      <c r="F63" s="38">
        <f t="shared" si="4"/>
        <v>-5.2395399999999999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28.712</v>
      </c>
      <c r="E64" s="34">
        <f t="shared" si="3"/>
        <v>19.029566346988684</v>
      </c>
      <c r="F64" s="34">
        <f t="shared" si="4"/>
        <v>-122.169</v>
      </c>
    </row>
    <row r="65" spans="1:7">
      <c r="A65" s="43" t="s">
        <v>48</v>
      </c>
      <c r="B65" s="44" t="s">
        <v>49</v>
      </c>
      <c r="C65" s="37">
        <v>150.881</v>
      </c>
      <c r="D65" s="37">
        <v>28.712</v>
      </c>
      <c r="E65" s="38">
        <f t="shared" si="3"/>
        <v>19.029566346988684</v>
      </c>
      <c r="F65" s="38">
        <f t="shared" si="4"/>
        <v>-122.169</v>
      </c>
    </row>
    <row r="66" spans="1:7" s="6" customFormat="1" ht="16.5" customHeight="1">
      <c r="A66" s="30" t="s">
        <v>50</v>
      </c>
      <c r="B66" s="31" t="s">
        <v>51</v>
      </c>
      <c r="C66" s="32">
        <f>C69+C70</f>
        <v>15</v>
      </c>
      <c r="D66" s="32">
        <f>D69+D70</f>
        <v>0.6</v>
      </c>
      <c r="E66" s="34">
        <f t="shared" si="3"/>
        <v>4</v>
      </c>
      <c r="F66" s="34">
        <f t="shared" si="4"/>
        <v>-14.4</v>
      </c>
    </row>
    <row r="67" spans="1:7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0.6</v>
      </c>
      <c r="E70" s="34">
        <f t="shared" si="3"/>
        <v>6</v>
      </c>
      <c r="F70" s="34">
        <f t="shared" si="4"/>
        <v>-9.4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2640.81601</v>
      </c>
      <c r="D71" s="48">
        <f>SUM(D72:D75)</f>
        <v>227.8503</v>
      </c>
      <c r="E71" s="34">
        <f t="shared" si="3"/>
        <v>8.628026304642102</v>
      </c>
      <c r="F71" s="34">
        <f t="shared" si="4"/>
        <v>-2412.9657099999999</v>
      </c>
    </row>
    <row r="72" spans="1:7" ht="18" customHeight="1">
      <c r="A72" s="35" t="s">
        <v>60</v>
      </c>
      <c r="B72" s="39" t="s">
        <v>61</v>
      </c>
      <c r="C72" s="49">
        <f>2.4+6.35</f>
        <v>8.75</v>
      </c>
      <c r="D72" s="37">
        <v>0</v>
      </c>
      <c r="E72" s="38">
        <f t="shared" si="3"/>
        <v>0</v>
      </c>
      <c r="F72" s="38">
        <f t="shared" si="4"/>
        <v>-8.75</v>
      </c>
    </row>
    <row r="73" spans="1:7" s="6" customFormat="1" ht="15" customHeight="1">
      <c r="A73" s="35" t="s">
        <v>62</v>
      </c>
      <c r="B73" s="39" t="s">
        <v>63</v>
      </c>
      <c r="C73" s="49">
        <f>189.5+50</f>
        <v>239.5</v>
      </c>
      <c r="D73" s="37">
        <v>35</v>
      </c>
      <c r="E73" s="38">
        <f t="shared" si="3"/>
        <v>14.613778705636744</v>
      </c>
      <c r="F73" s="38">
        <f t="shared" si="4"/>
        <v>-204.5</v>
      </c>
      <c r="G73" s="50"/>
    </row>
    <row r="74" spans="1:7">
      <c r="A74" s="35" t="s">
        <v>64</v>
      </c>
      <c r="B74" s="39" t="s">
        <v>65</v>
      </c>
      <c r="C74" s="49">
        <f>918.16601+1374.4</f>
        <v>2292.56601</v>
      </c>
      <c r="D74" s="37">
        <v>192.8503</v>
      </c>
      <c r="E74" s="38">
        <f t="shared" si="3"/>
        <v>8.4119846128225557</v>
      </c>
      <c r="F74" s="38">
        <f t="shared" si="4"/>
        <v>-2099.7157099999999</v>
      </c>
    </row>
    <row r="75" spans="1:7">
      <c r="A75" s="35" t="s">
        <v>66</v>
      </c>
      <c r="B75" s="39" t="s">
        <v>67</v>
      </c>
      <c r="C75" s="49">
        <v>100</v>
      </c>
      <c r="D75" s="37">
        <v>0</v>
      </c>
      <c r="E75" s="38">
        <f t="shared" si="3"/>
        <v>0</v>
      </c>
      <c r="F75" s="38">
        <f t="shared" si="4"/>
        <v>-100</v>
      </c>
    </row>
    <row r="76" spans="1:7" s="6" customFormat="1" ht="16.5" customHeight="1">
      <c r="A76" s="30" t="s">
        <v>68</v>
      </c>
      <c r="B76" s="31" t="s">
        <v>69</v>
      </c>
      <c r="C76" s="32">
        <f>SUM(C77:C80)</f>
        <v>884.15</v>
      </c>
      <c r="D76" s="32">
        <f>SUM(D77:D80)</f>
        <v>91.777000000000001</v>
      </c>
      <c r="E76" s="34">
        <f t="shared" si="3"/>
        <v>10.380252219645989</v>
      </c>
      <c r="F76" s="34">
        <f t="shared" si="4"/>
        <v>-792.37299999999993</v>
      </c>
    </row>
    <row r="77" spans="1:7" ht="17.25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f>501.15+373+10</f>
        <v>884.15</v>
      </c>
      <c r="D79" s="37">
        <v>91.777000000000001</v>
      </c>
      <c r="E79" s="38">
        <f t="shared" si="3"/>
        <v>10.380252219645989</v>
      </c>
      <c r="F79" s="38">
        <f t="shared" si="4"/>
        <v>-792.37299999999993</v>
      </c>
    </row>
    <row r="80" spans="1:7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C82+C83</f>
        <v>1107.5999999999999</v>
      </c>
      <c r="D81" s="32">
        <f>SUM(D82:D83)</f>
        <v>276.89999999999998</v>
      </c>
      <c r="E81" s="34">
        <f t="shared" si="3"/>
        <v>25</v>
      </c>
      <c r="F81" s="34">
        <f t="shared" si="4"/>
        <v>-830.69999999999993</v>
      </c>
    </row>
    <row r="82" spans="1:6" ht="19.5" customHeight="1">
      <c r="A82" s="35" t="s">
        <v>88</v>
      </c>
      <c r="B82" s="39" t="s">
        <v>234</v>
      </c>
      <c r="C82" s="37">
        <v>1107.5999999999999</v>
      </c>
      <c r="D82" s="37">
        <v>276.89999999999998</v>
      </c>
      <c r="E82" s="38">
        <f t="shared" si="3"/>
        <v>25</v>
      </c>
      <c r="F82" s="38">
        <f t="shared" si="4"/>
        <v>-830.69999999999993</v>
      </c>
    </row>
    <row r="83" spans="1:6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20</v>
      </c>
      <c r="D91" s="32">
        <f>D92+D93+D94+D95+D96</f>
        <v>0</v>
      </c>
      <c r="E91" s="38">
        <f t="shared" si="3"/>
        <v>0</v>
      </c>
      <c r="F91" s="22">
        <f>F92+F93+F94+F95+F96</f>
        <v>-20</v>
      </c>
    </row>
    <row r="92" spans="1:6" ht="17.25" customHeight="1">
      <c r="A92" s="53">
        <v>1101</v>
      </c>
      <c r="B92" s="54" t="s">
        <v>98</v>
      </c>
      <c r="C92" s="37">
        <v>20</v>
      </c>
      <c r="D92" s="37">
        <v>0</v>
      </c>
      <c r="E92" s="38">
        <f t="shared" si="3"/>
        <v>0</v>
      </c>
      <c r="F92" s="38">
        <f>SUM(D92-C92)</f>
        <v>-20</v>
      </c>
    </row>
    <row r="93" spans="1:6" ht="0.75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3.5" customHeight="1">
      <c r="A101" s="52"/>
      <c r="B101" s="57" t="s">
        <v>119</v>
      </c>
      <c r="C101" s="33">
        <f>C56+C64+C66+C71+C76+C81+C84+C91+C97+C89</f>
        <v>6577.7040099999995</v>
      </c>
      <c r="D101" s="33">
        <f>D56+D64+D66+D71+D76+D81+D84+D91+D97+D89</f>
        <v>967.78284000000008</v>
      </c>
      <c r="E101" s="34">
        <f t="shared" si="3"/>
        <v>14.713079800013684</v>
      </c>
      <c r="F101" s="34">
        <f t="shared" si="4"/>
        <v>-5609.9211699999996</v>
      </c>
    </row>
    <row r="102" spans="1:6">
      <c r="D102" s="246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  <row r="141" hidden="1"/>
  </sheetData>
  <customSheetViews>
    <customSheetView guid="{A54C432C-6C68-4B53-A75C-446EB3A61B2B}" scale="70" showPageBreaks="1" hiddenRows="1" view="pageBreakPreview" topLeftCell="A78">
      <selection activeCell="C141" sqref="C141:D141"/>
      <pageMargins left="0.7" right="0.7" top="0.75" bottom="0.75" header="0.3" footer="0.3"/>
      <pageSetup paperSize="9" scale="53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3" orientation="portrait" r:id="rId2"/>
    </customSheetView>
    <customSheetView guid="{42584DC0-1D41-4C93-9B38-C388E7B8DAC4}" scale="70" showPageBreaks="1" hiddenRows="1" view="pageBreakPreview">
      <selection activeCell="C141" sqref="C141:D141"/>
      <pageMargins left="0.7" right="0.7" top="0.75" bottom="0.75" header="0.3" footer="0.3"/>
      <pageSetup paperSize="9" scale="53" orientation="portrait" r:id="rId3"/>
    </customSheetView>
  </customSheetViews>
  <mergeCells count="2">
    <mergeCell ref="A1:F1"/>
    <mergeCell ref="A2:F2"/>
  </mergeCells>
  <phoneticPr fontId="15" type="noConversion"/>
  <pageMargins left="0.7" right="0.7" top="0.75" bottom="0.75" header="0.3" footer="0.3"/>
  <pageSetup paperSize="9" scale="53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7</vt:i4>
      </vt:variant>
    </vt:vector>
  </HeadingPairs>
  <TitlesOfParts>
    <vt:vector size="26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2018-04-05T08:37:32Z</cp:lastPrinted>
  <dcterms:created xsi:type="dcterms:W3CDTF">1996-10-08T23:32:33Z</dcterms:created>
  <dcterms:modified xsi:type="dcterms:W3CDTF">2019-05-10T09:52:47Z</dcterms:modified>
</cp:coreProperties>
</file>