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16.xml" ContentType="application/vnd.openxmlformats-officedocument.spreadsheetml.worksheet+xml"/>
  <Override PartName="/xl/revisions/revisionLog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revisions/userNames.xml" ContentType="application/vnd.openxmlformats-officedocument.spreadsheetml.userNam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район!$17:$18,район!$20:$20,район!$25:$25,район!$27:$31,район!$35:$35,район!$38:$38,район!$50:$51,район!$75:$75,район!$82:$82,район!$99:$99,район!$105:$105,район!$132:$134,район!$137:$138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Мор!$A$1:$F$100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Юнг!$A$1:$F$99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Але!$19:$24,Але!$44:$44,Але!$46:$46,Але!$53:$53,Але!$55:$56,Але!$63:$64,Але!$73:$74,Але!$78:$92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Кад!$19:$24,Кад!$44:$44,Кад!$56:$56,Кад!$58:$59,Кад!$66:$67,Кад!$82:$84,Кад!$88:$95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Мор!$21:$21,Мор!$23:$23,Мор!$37:$37,Мор!$44:$44,Мор!$47:$47,Мор!$49:$50,Мор!$57:$57,Мор!$59:$60,Мор!$67:$68,Мор!$82:$87,Мор!$90:$96</definedName>
    <definedName name="Z_3DCB9AAA_F09C_4EA6_B992_F93E466D374A_.wvu.Rows" localSheetId="8" hidden="1">Мос!$19:$24,Мос!$44:$44,Мос!$57:$57,Мос!$59:$60,Мос!$67:$68,Мос!$80:$80,Мос!$82:$88,Мос!$93:$98</definedName>
    <definedName name="Z_3DCB9AAA_F09C_4EA6_B992_F93E466D374A_.wvu.Rows" localSheetId="9" hidden="1">Ори!$19:$24,Ори!$32:$32,Ори!$44:$44,Ори!$48:$50,Ори!$57:$57,Ори!$59:$60,Ори!$67:$68,Ори!$77:$78,Ори!$80:$80,Ори!$82:$86,Ори!$90:$97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район!$17:$18,район!$20:$20,район!$28:$30,район!$50:$51,район!$75:$75,район!$82:$82,район!$99:$99,район!$105:$105,район!$132:$134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Сун!$19:$24,Сун!$49:$51,Сун!$58:$58,Сун!$60:$61,Сун!$68:$69,Сун!$78:$79,Сун!$81:$84,Сун!$87:$88,Сун!$92:$96</definedName>
    <definedName name="Z_3DCB9AAA_F09C_4EA6_B992_F93E466D374A_.wvu.Rows" localSheetId="10" hidden="1">Сят!$19:$19,Сят!$45:$47,Сят!$57:$57,Сят!$59:$60,Сят!$67:$68,Сят!$82:$85,Сят!$89:$96</definedName>
    <definedName name="Z_3DCB9AAA_F09C_4EA6_B992_F93E466D374A_.wvu.Rows" localSheetId="11" hidden="1">Тор!$19:$19,Тор!$50:$50,Тор!$57:$57,Тор!$59:$60,Тор!$67:$68,Тор!$74:$74,Тор!$78:$79,Тор!$82:$93</definedName>
    <definedName name="Z_3DCB9AAA_F09C_4EA6_B992_F93E466D374A_.wvu.Rows" localSheetId="12" hidden="1">Хор!$19:$24,Хор!$32:$32,Хор!$40:$40,Хор!$44:$44,Хор!$55:$55,Хор!$57:$58,Хор!$65:$66,Хор!$80:$84,Хор!$87:$94</definedName>
    <definedName name="Z_3DCB9AAA_F09C_4EA6_B992_F93E466D374A_.wvu.Rows" localSheetId="13" hidden="1">Чум!$19:$19,Чум!$21:$21,Чум!$23:$24,Чум!$47:$49,Чум!$57:$57,Чум!$59:$60,Чум!$67:$68,Чум!$82:$86,Чум!$89:$96</definedName>
    <definedName name="Z_3DCB9AAA_F09C_4EA6_B992_F93E466D374A_.wvu.Rows" localSheetId="14" hidden="1">Шать!$19:$24,Шать!$47:$49,Шать!$57:$57,Шать!$59:$60,Шать!$67:$68,Шать!$77:$78,Шать!$82:$86,Шать!$89:$96</definedName>
    <definedName name="Z_3DCB9AAA_F09C_4EA6_B992_F93E466D374A_.wvu.Rows" localSheetId="15" hidden="1">Юнг!$19:$24,Юнг!$32:$32,Юнг!$46:$46,Юнг!$49:$49,Юнг!$56:$56,Юнг!$58:$59,Юнг!$66:$67,Юнг!$81:$85,Юнг!$88:$95</definedName>
    <definedName name="Z_3DCB9AAA_F09C_4EA6_B992_F93E466D374A_.wvu.Rows" localSheetId="16" hidden="1">Юсь!$20:$24,Юсь!$40:$40,Юсь!$44:$49,Юсь!$58:$58,Юсь!$60:$61,Юсь!$68:$69,Юсь!$78:$79,Юсь!$82:$87,Юсь!$90:$97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Яро!$19:$24,Яро!$29:$30,Яро!$32:$32,Яро!$43:$43,Яро!$54:$54,Яро!$56:$57,Яро!$64:$65,Яро!$74:$75,Яро!$79:$84,Яро!$86:$93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$112:$112,район!$132:$134,район!$137:$138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Але!$19:$24,Але!$44:$44,Але!$46:$46,Але!$53:$53,Але!$55:$56,Але!$63:$64,Але!$73:$74,Але!$78:$82,Але!$86:$88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район!$17:$18,район!$20:$20,район!$28:$30,район!$50:$51,район!$75:$75,район!$82:$82,район!$99:$99,район!$105:$105,район!$132:$134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Сун!$19:$24,Сун!$49:$51,Сун!$58:$58,Сун!$60:$61,Сун!$68:$69,Сун!$78:$79,Сун!$81:$81,Сун!$87:$88,Сун!$92:$96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Хор!$19:$24,Хор!$32:$32,Хор!$40:$40,Хор!$44:$44,Хор!$55:$55,Хор!$57:$58,Хор!$65:$66,Хор!$80:$84,Хор!$87:$94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район!$17:$18,район!$20:$20,район!$25:$25,район!$27:$31,район!$35:$35,район!$38:$38,район!$50:$51,район!$62:$62,район!$75:$75,район!$82:$82,район!$99:$99,район!$105:$105,район!$132:$134,район!$137:$138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Хор!$19:$24,Хор!$28:$33,Хор!$40:$40,Хор!$44:$44,Хор!$46:$48,Хор!$55:$55,Хор!$57:$59,Хор!$65:$66,Хор!$71:$71,Хор!$75:$76,Хор!$80:$84,Хор!$87:$94,Хор!$141:$141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Юнг!$19:$24,Юнг!$33:$33,Юнг!$38:$38,Юнг!$46:$47,Юнг!$56:$56,Юнг!$58:$60,Юнг!$66:$68,Юнг!$76:$77,Юнг!$81:$85,Юнг!$88:$95,Юнг!$141:$141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Юсь!$19:$24,Юсь!$31:$33,Юсь!$36:$36,Юсь!$40:$40,Юсь!$44:$50,Юсь!$58:$58,Юсь!$60:$61,Юсь!$68:$69,Юсь!$78:$79,Юсь!$83:$87,Юсь!$90:$97,Юсь!$141:$141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Яро!$19:$24,Яро!$28:$36,Яро!$43:$43,Яро!$46:$46,Яро!$54:$54,Яро!$56:$58,Яро!$64:$65,Яро!$74:$74,Яро!$79:$83,Яро!$86:$93</definedName>
    <definedName name="Z_AEB392BF_DA26_444D_A19F_E51C57137A4D_.wvu.Cols" localSheetId="1" hidden="1">Справка!$AV:$AX,Справка!$BB:$BD,Справка!$BH:$BM,Справка!$BT:$BY,Справка!$CX:$DF</definedName>
    <definedName name="Z_AEB392BF_DA26_444D_A19F_E51C57137A4D_.wvu.PrintArea" localSheetId="5" hidden="1">Иль!$A$1:$F$104</definedName>
    <definedName name="Z_AEB392BF_DA26_444D_A19F_E51C57137A4D_.wvu.PrintArea" localSheetId="0" hidden="1">Консол!$A$1:$K$50</definedName>
    <definedName name="Z_AEB392BF_DA26_444D_A19F_E51C57137A4D_.wvu.PrintArea" localSheetId="7" hidden="1">Мор!$A$1:$F$100</definedName>
    <definedName name="Z_AEB392BF_DA26_444D_A19F_E51C57137A4D_.wvu.PrintArea" localSheetId="1" hidden="1">Справка!$A$1:$EY$31</definedName>
    <definedName name="Z_AEB392BF_DA26_444D_A19F_E51C57137A4D_.wvu.PrintArea" localSheetId="11" hidden="1">Тор!$A$1:$F$101</definedName>
    <definedName name="Z_AEB392BF_DA26_444D_A19F_E51C57137A4D_.wvu.PrintArea" localSheetId="15" hidden="1">Юнг!$A$1:$F$99</definedName>
    <definedName name="Z_AEB392BF_DA26_444D_A19F_E51C57137A4D_.wvu.PrintArea" localSheetId="17" hidden="1">Яра!$A$1:$F$102</definedName>
    <definedName name="Z_AEB392BF_DA26_444D_A19F_E51C57137A4D_.wvu.Rows" localSheetId="3" hidden="1">Але!$19:$24,Але!$44:$44,Але!$46:$46,Але!$53:$53,Але!$55:$56,Але!$63:$64,Але!$73:$74,Але!$78:$82,Але!$86:$88</definedName>
    <definedName name="Z_AEB392BF_DA26_444D_A19F_E51C57137A4D_.wvu.Rows" localSheetId="5" hidden="1">Иль!$19:$24,Иль!$30:$31,Иль!$33:$33,Иль!$45:$45,Иль!$50:$50,Иль!$60:$61,Иль!$68:$69,Иль!$78:$79,Иль!$81:$81,Иль!$93:$97</definedName>
    <definedName name="Z_AEB392BF_DA26_444D_A19F_E51C57137A4D_.wvu.Rows" localSheetId="6" hidden="1">Кад!$19:$24,Кад!$44:$44,Кад!$56:$56,Кад!$58:$59,Кад!$66:$67,Кад!$82:$84,Кад!$88:$95</definedName>
    <definedName name="Z_AEB392BF_DA26_444D_A19F_E51C57137A4D_.wvu.Rows" localSheetId="0" hidden="1">Консол!$22:$22,Консол!$43:$45,Консол!$82:$84</definedName>
    <definedName name="Z_AEB392BF_DA26_444D_A19F_E51C57137A4D_.wvu.Rows" localSheetId="19" hidden="1">Лист1!$82:$84</definedName>
    <definedName name="Z_AEB392BF_DA26_444D_A19F_E51C57137A4D_.wvu.Rows" localSheetId="7" hidden="1">Мор!$21:$21,Мор!$23:$23,Мор!$37:$37,Мор!$44:$44,Мор!$47:$47,Мор!$49:$50,Мор!$57:$57,Мор!$59:$60,Мор!$67:$68,Мор!$82:$87,Мор!$90:$96</definedName>
    <definedName name="Z_AEB392BF_DA26_444D_A19F_E51C57137A4D_.wvu.Rows" localSheetId="8" hidden="1">Мос!$19:$24,Мос!$44:$44,Мос!$57:$57,Мос!$59:$60,Мос!$67:$68,Мос!$80:$80,Мос!$82:$88,Мос!$93:$98</definedName>
    <definedName name="Z_AEB392BF_DA26_444D_A19F_E51C57137A4D_.wvu.Rows" localSheetId="9" hidden="1">Ори!$19:$24,Ори!$32:$32,Ори!$44:$44,Ори!$48:$50,Ори!$57:$57,Ори!$59:$60,Ори!$67:$68,Ори!$77:$78,Ори!$80:$80,Ори!$82:$86,Ори!$90:$97</definedName>
    <definedName name="Z_AEB392BF_DA26_444D_A19F_E51C57137A4D_.wvu.Rows" localSheetId="2" hidden="1">район!$17:$18,район!$20:$20,район!$28:$30,район!$50:$51,район!$75:$75,район!$82:$82,район!$99:$99,район!$105:$105,район!$132:$134</definedName>
    <definedName name="Z_AEB392BF_DA26_444D_A19F_E51C57137A4D_.wvu.Rows" localSheetId="1" hidden="1">Справка!$33:$33</definedName>
    <definedName name="Z_AEB392BF_DA26_444D_A19F_E51C57137A4D_.wvu.Rows" localSheetId="4" hidden="1">Сун!$19:$24,Сун!$49:$51,Сун!$58:$58,Сун!$60:$61,Сун!$68:$69,Сун!$78:$79,Сун!$81:$81,Сун!$87:$88,Сун!$92:$96</definedName>
    <definedName name="Z_AEB392BF_DA26_444D_A19F_E51C57137A4D_.wvu.Rows" localSheetId="10" hidden="1">Сят!$19:$19,Сят!$45:$47,Сят!$57:$57,Сят!$59:$60,Сят!$67:$68,Сят!$82:$85,Сят!$89:$96</definedName>
    <definedName name="Z_AEB392BF_DA26_444D_A19F_E51C57137A4D_.wvu.Rows" localSheetId="11" hidden="1">Тор!$19:$19,Тор!$50:$50,Тор!$57:$57,Тор!$59:$60,Тор!$67:$68,Тор!$74:$74,Тор!$78:$79,Тор!$82:$93</definedName>
    <definedName name="Z_AEB392BF_DA26_444D_A19F_E51C57137A4D_.wvu.Rows" localSheetId="12" hidden="1">Хор!$19:$24,Хор!$32:$32,Хор!$40:$40,Хор!$44:$44,Хор!$55:$55,Хор!$57:$58,Хор!$65:$66,Хор!$80:$84,Хор!$87:$94</definedName>
    <definedName name="Z_AEB392BF_DA26_444D_A19F_E51C57137A4D_.wvu.Rows" localSheetId="13" hidden="1">Чум!$19:$19,Чум!$21:$21,Чум!$23:$24,Чум!$47:$49,Чум!$57:$57,Чум!$59:$60,Чум!$67:$68,Чум!$82:$86,Чум!$89:$96</definedName>
    <definedName name="Z_AEB392BF_DA26_444D_A19F_E51C57137A4D_.wvu.Rows" localSheetId="14" hidden="1">Шать!$19:$24,Шать!$47:$49,Шать!$57:$57,Шать!$59:$60,Шать!$67:$68,Шать!$77:$78,Шать!$82:$86,Шать!$89:$96</definedName>
    <definedName name="Z_AEB392BF_DA26_444D_A19F_E51C57137A4D_.wvu.Rows" localSheetId="15" hidden="1">Юнг!$19:$24,Юнг!$32:$32,Юнг!$49:$49,Юнг!$56:$56,Юнг!$58:$59,Юнг!$66:$67,Юнг!$81:$85,Юнг!$88:$95</definedName>
    <definedName name="Z_AEB392BF_DA26_444D_A19F_E51C57137A4D_.wvu.Rows" localSheetId="16" hidden="1">Юсь!$20:$24,Юсь!$40:$40,Юсь!$44:$49,Юсь!$58:$58,Юсь!$60:$61,Юсь!$68:$69,Юсь!$78:$79,Юсь!$82:$87,Юсь!$90:$97</definedName>
    <definedName name="Z_AEB392BF_DA26_444D_A19F_E51C57137A4D_.wvu.Rows" localSheetId="17" hidden="1">Яра!$19:$24,Яра!$46:$50,Яра!$58:$58,Яра!$60:$61,Яра!$68:$69,Яра!$79:$79,Яра!$82:$88,Яра!$91:$98</definedName>
    <definedName name="Z_AEB392BF_DA26_444D_A19F_E51C57137A4D_.wvu.Rows" localSheetId="18" hidden="1">Яро!$19:$24,Яро!$29:$30,Яро!$32:$32,Яро!$43:$43,Яро!$54:$54,Яро!$56:$57,Яро!$64:$65,Яро!$74:$75,Яро!$79:$84,Яро!$86:$93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Сун!$A$1:$F$103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Мос!$19:$24,Мос!$29:$35,Мос!$44:$44,Мос!$49:$49,Мос!$57:$57,Мос!$59:$60,Мос!$67:$68,Мос!$77:$78,Мос!$80:$80,Мос!$83:$90,Мос!$93:$100,Мос!$141:$141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район!$17:$18,район!$20:$20,район!$27:$31,район!$35:$35,район!$38:$38,район!$50:$51,район!$62:$62,район!$75:$75,район!$82:$82,район!$99:$99,район!$105:$105,район!$132:$134,район!$137:$138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Сят!$19:$24,Сят!$31:$33,Сят!$38:$38,Сят!$45:$48,Сят!$57:$57,Сят!$59:$60,Сят!$67:$68,Сят!$77:$78,Сят!$82:$86,Сят!$89:$96,Сят!$142:$142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Тор!$19:$24,Тор!$32:$36,Тор!$39:$39,Тор!$50:$50,Тор!$57:$57,Тор!$59:$60,Тор!$67:$68,Тор!$74:$74,Тор!$78:$79,Тор!$83:$95,Тор!$142:$142</definedName>
    <definedName name="Z_B30CE22D_C12F_4E12_8BB9_3AAE0A6991CC_.wvu.Rows" localSheetId="12" hidden="1">Хор!$19:$24,Хор!$28:$36,Хор!$40:$40,Хор!$44:$44,Хор!$46:$48,Хор!$55:$55,Хор!$57:$59,Хор!$65:$66,Хор!$71:$71,Хор!$75:$76,Хор!$80:$84,Хор!$87:$94,Хор!$141:$141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Юнг!$19:$24,Юнг!$31:$33,Юнг!$38:$38,Юнг!$46:$46,Юнг!$56:$56,Юнг!$58:$60,Юнг!$66:$68,Юнг!$76:$77,Юнг!$81:$85,Юнг!$88:$95,Юнг!$141:$141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Иль!$A$1:$F$104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1 - Личное представление" guid="{AEB392BF-DA26-444D-A19F-E51C57137A4D}" mergeInterval="0" personalView="1" maximized="1" xWindow="1" yWindow="1" windowWidth="1356" windowHeight="538" tabRatio="695" activeSheetId="1"/>
    <customWorkbookView name="morgau_fin2 - Личное представление" guid="{B30CE22D-C12F-4E12-8BB9-3AAE0A6991CC}" mergeInterval="0" personalView="1" maximized="1" xWindow="1" yWindow="1" windowWidth="1916" windowHeight="859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D40" i="16"/>
  <c r="CV26" i="2"/>
  <c r="AT18"/>
  <c r="AQ18"/>
  <c r="D26" i="6" l="1"/>
  <c r="C34" i="11"/>
  <c r="BN21" i="2" s="1"/>
  <c r="C81" i="12"/>
  <c r="C38" i="17"/>
  <c r="D12" i="19"/>
  <c r="D33" i="3"/>
  <c r="E40"/>
  <c r="F40"/>
  <c r="D67" i="18" l="1"/>
  <c r="E42" i="13"/>
  <c r="D81" i="12"/>
  <c r="D64"/>
  <c r="D67" i="6"/>
  <c r="C67"/>
  <c r="E72"/>
  <c r="F72"/>
  <c r="C67" i="4"/>
  <c r="D67"/>
  <c r="D98" i="3"/>
  <c r="D104" l="1"/>
  <c r="G32" i="1" s="1"/>
  <c r="CO19" i="2"/>
  <c r="C40" i="9"/>
  <c r="E48"/>
  <c r="C33" i="3"/>
  <c r="D5" i="5"/>
  <c r="D38" i="14"/>
  <c r="C29" i="12"/>
  <c r="C42" i="18"/>
  <c r="C39" i="19"/>
  <c r="J15" i="2"/>
  <c r="E103" i="3"/>
  <c r="F103"/>
  <c r="D12" i="7"/>
  <c r="CD14" i="2"/>
  <c r="CS17"/>
  <c r="CD17"/>
  <c r="C78" i="19"/>
  <c r="C38" i="4"/>
  <c r="AT28" i="2"/>
  <c r="F28" i="18"/>
  <c r="E28"/>
  <c r="D26"/>
  <c r="C67"/>
  <c r="F72"/>
  <c r="E72"/>
  <c r="D73"/>
  <c r="F29"/>
  <c r="E29"/>
  <c r="C115" i="3"/>
  <c r="C98"/>
  <c r="E93"/>
  <c r="F86" i="15"/>
  <c r="E86"/>
  <c r="F85"/>
  <c r="E85"/>
  <c r="F84"/>
  <c r="E84"/>
  <c r="F83"/>
  <c r="E83"/>
  <c r="D80" i="14"/>
  <c r="C42"/>
  <c r="CR17" i="2"/>
  <c r="C40" i="7"/>
  <c r="D41" i="6"/>
  <c r="C41"/>
  <c r="CS16" i="2"/>
  <c r="CR16"/>
  <c r="BQ14"/>
  <c r="E51" i="6"/>
  <c r="F51"/>
  <c r="C42"/>
  <c r="D67" i="5"/>
  <c r="C42"/>
  <c r="C16"/>
  <c r="D38" i="4"/>
  <c r="BR14" i="2"/>
  <c r="CV22"/>
  <c r="CV21"/>
  <c r="D124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9"/>
  <c r="CR18"/>
  <c r="CT18" s="1"/>
  <c r="CS15"/>
  <c r="CR15"/>
  <c r="F79" i="13"/>
  <c r="F90" i="18"/>
  <c r="C75" i="17"/>
  <c r="E51"/>
  <c r="F51"/>
  <c r="C73" i="16"/>
  <c r="C40"/>
  <c r="E40" s="1"/>
  <c r="E50" i="15"/>
  <c r="F50"/>
  <c r="C41" i="14"/>
  <c r="F41" s="1"/>
  <c r="E50"/>
  <c r="F50"/>
  <c r="E75" i="12"/>
  <c r="E72"/>
  <c r="E31"/>
  <c r="F31"/>
  <c r="D29"/>
  <c r="C81" i="11"/>
  <c r="C40"/>
  <c r="E40" s="1"/>
  <c r="E49"/>
  <c r="F49"/>
  <c r="C40" i="10"/>
  <c r="F40" s="1"/>
  <c r="E79" i="9"/>
  <c r="E50"/>
  <c r="F50"/>
  <c r="E47" i="8"/>
  <c r="F47"/>
  <c r="E48"/>
  <c r="F48"/>
  <c r="E49"/>
  <c r="F49"/>
  <c r="E50"/>
  <c r="F50"/>
  <c r="C40"/>
  <c r="F40" s="1"/>
  <c r="E28" i="3"/>
  <c r="E29"/>
  <c r="E30"/>
  <c r="E31"/>
  <c r="F80" i="5"/>
  <c r="F75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9" i="3"/>
  <c r="G33" i="1" s="1"/>
  <c r="C109" i="3"/>
  <c r="F33" i="1" s="1"/>
  <c r="E111" i="3"/>
  <c r="E112"/>
  <c r="E102"/>
  <c r="E91"/>
  <c r="E74"/>
  <c r="E75"/>
  <c r="E70"/>
  <c r="E71"/>
  <c r="E60"/>
  <c r="D52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E18" i="2" s="1"/>
  <c r="E35" i="11"/>
  <c r="F35"/>
  <c r="E34"/>
  <c r="F34"/>
  <c r="E33"/>
  <c r="C7" i="8"/>
  <c r="D7" i="5"/>
  <c r="C52" i="4"/>
  <c r="D12"/>
  <c r="BP23" i="2"/>
  <c r="BO21"/>
  <c r="BP21" s="1"/>
  <c r="D96" i="12"/>
  <c r="ER22" i="2" s="1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2" i="3"/>
  <c r="AQ27" i="2"/>
  <c r="AQ25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5" i="3"/>
  <c r="G35" i="1" s="1"/>
  <c r="D35" s="1"/>
  <c r="F118" i="3"/>
  <c r="E118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9" i="3"/>
  <c r="G38" i="1" s="1"/>
  <c r="C96" i="12"/>
  <c r="EQ22" i="2" s="1"/>
  <c r="D7" i="16"/>
  <c r="E42" i="9"/>
  <c r="F42"/>
  <c r="D83" i="4"/>
  <c r="ER14" i="2" s="1"/>
  <c r="C83" i="4"/>
  <c r="D76"/>
  <c r="EL14" i="2" s="1"/>
  <c r="C76" i="4"/>
  <c r="D72"/>
  <c r="C72"/>
  <c r="EH14" i="2" s="1"/>
  <c r="D62" i="4"/>
  <c r="C62"/>
  <c r="EB14" i="2" s="1"/>
  <c r="C60" i="4"/>
  <c r="D52"/>
  <c r="D36" i="16"/>
  <c r="D139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39" i="3"/>
  <c r="F139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5" i="3"/>
  <c r="D23"/>
  <c r="G12" i="1" s="1"/>
  <c r="BU33" i="2"/>
  <c r="DF33"/>
  <c r="D47" i="3"/>
  <c r="D42"/>
  <c r="C88" i="17"/>
  <c r="EQ27" i="2" s="1"/>
  <c r="DP14"/>
  <c r="D26" i="17"/>
  <c r="D32" i="18"/>
  <c r="D14" i="4"/>
  <c r="C78" i="13"/>
  <c r="EK23" i="2" s="1"/>
  <c r="C26" i="11"/>
  <c r="C26" i="8"/>
  <c r="C32" i="6"/>
  <c r="E67" i="18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4" i="8"/>
  <c r="EU18" i="2" s="1"/>
  <c r="D65" i="6"/>
  <c r="D65" i="5"/>
  <c r="CO27" i="2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29" i="3"/>
  <c r="F38" i="1" s="1"/>
  <c r="C124" i="3"/>
  <c r="F37" i="1" s="1"/>
  <c r="D121" i="3"/>
  <c r="G36" i="1" s="1"/>
  <c r="C121" i="3"/>
  <c r="F36" i="1" s="1"/>
  <c r="C132" i="3"/>
  <c r="E132" s="1"/>
  <c r="D113"/>
  <c r="C104"/>
  <c r="F32" i="1" s="1"/>
  <c r="D96" i="3"/>
  <c r="G30" i="1" s="1"/>
  <c r="E98" i="3"/>
  <c r="C88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7"/>
  <c r="F107"/>
  <c r="E108"/>
  <c r="F108"/>
  <c r="E110"/>
  <c r="F110"/>
  <c r="F111"/>
  <c r="F112"/>
  <c r="C113"/>
  <c r="F34" i="1" s="1"/>
  <c r="C34" s="1"/>
  <c r="E114" i="3"/>
  <c r="F114"/>
  <c r="E116"/>
  <c r="F116"/>
  <c r="E117"/>
  <c r="F117"/>
  <c r="E119"/>
  <c r="F119"/>
  <c r="E120"/>
  <c r="F120"/>
  <c r="E122"/>
  <c r="F122"/>
  <c r="E123"/>
  <c r="F123"/>
  <c r="E125"/>
  <c r="F125"/>
  <c r="E126"/>
  <c r="F126"/>
  <c r="E127"/>
  <c r="F127"/>
  <c r="E128"/>
  <c r="F128"/>
  <c r="E130"/>
  <c r="F130"/>
  <c r="E131"/>
  <c r="F131"/>
  <c r="E133"/>
  <c r="E134"/>
  <c r="C135"/>
  <c r="F39" i="1" s="1"/>
  <c r="C39" s="1"/>
  <c r="D135" i="3"/>
  <c r="E136"/>
  <c r="F136"/>
  <c r="C137"/>
  <c r="F40" i="1" s="1"/>
  <c r="C40" s="1"/>
  <c r="G40"/>
  <c r="D40" s="1"/>
  <c r="F138" i="3"/>
  <c r="E140"/>
  <c r="F140"/>
  <c r="E141"/>
  <c r="F141"/>
  <c r="E142"/>
  <c r="F142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41" i="6"/>
  <c r="E74" i="9"/>
  <c r="F74" i="11"/>
  <c r="F73" i="3"/>
  <c r="E73"/>
  <c r="E76" i="12"/>
  <c r="F73" i="17"/>
  <c r="C72"/>
  <c r="EE27" i="2" s="1"/>
  <c r="E73" i="17"/>
  <c r="E79" i="8"/>
  <c r="F79"/>
  <c r="E73"/>
  <c r="CC20" i="2"/>
  <c r="E31" i="1"/>
  <c r="C71" i="12"/>
  <c r="C38" i="19"/>
  <c r="F39"/>
  <c r="V31" i="2" l="1"/>
  <c r="V35" s="1"/>
  <c r="EQ14"/>
  <c r="ES14" s="1"/>
  <c r="C93" i="4"/>
  <c r="D25" i="11"/>
  <c r="F40"/>
  <c r="C25"/>
  <c r="D93" i="4"/>
  <c r="K27" i="2"/>
  <c r="F60" i="4"/>
  <c r="H9" i="1"/>
  <c r="E17" i="19"/>
  <c r="F80" i="14"/>
  <c r="AZ23" i="2"/>
  <c r="BA23" s="1"/>
  <c r="D25" i="13"/>
  <c r="E40" i="9"/>
  <c r="EB15" i="2"/>
  <c r="ED15" s="1"/>
  <c r="E5" i="12"/>
  <c r="F55" i="16"/>
  <c r="E40" i="8"/>
  <c r="CK27" i="2"/>
  <c r="E69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3" i="3"/>
  <c r="E54" i="13"/>
  <c r="N22" i="2"/>
  <c r="F14" i="11"/>
  <c r="DO18" i="2"/>
  <c r="K17"/>
  <c r="E124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9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D38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1" i="6"/>
  <c r="DR16" i="2"/>
  <c r="E12" i="6"/>
  <c r="DU16" i="2"/>
  <c r="AI16"/>
  <c r="AC16"/>
  <c r="W16"/>
  <c r="C100" i="5"/>
  <c r="D100"/>
  <c r="EV15" i="2"/>
  <c r="BC35"/>
  <c r="BC33"/>
  <c r="E12" i="4"/>
  <c r="F89"/>
  <c r="F20"/>
  <c r="E23" i="3"/>
  <c r="D143"/>
  <c r="F7"/>
  <c r="F109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80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3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4" i="3"/>
  <c r="E139"/>
  <c r="D25" i="16"/>
  <c r="D39" s="1"/>
  <c r="D50" s="1"/>
  <c r="G50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F64" i="15"/>
  <c r="H24" i="1"/>
  <c r="E47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7" i="3"/>
  <c r="F64" i="13"/>
  <c r="F71" i="8"/>
  <c r="C97"/>
  <c r="D97" i="14"/>
  <c r="E78" i="13"/>
  <c r="E20" i="12"/>
  <c r="F82" i="15"/>
  <c r="E90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09"/>
  <c r="AP29" i="2"/>
  <c r="AR29" s="1"/>
  <c r="E29" i="15"/>
  <c r="F23" i="3"/>
  <c r="F33"/>
  <c r="D25" i="9"/>
  <c r="F81" i="7"/>
  <c r="F34" i="15"/>
  <c r="E91" i="13"/>
  <c r="F17" i="18"/>
  <c r="DR14" i="2"/>
  <c r="F17" i="11"/>
  <c r="F84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29" i="3"/>
  <c r="D96" i="7"/>
  <c r="AI28" i="2"/>
  <c r="CN21"/>
  <c r="K14"/>
  <c r="EA28"/>
  <c r="D25" i="12"/>
  <c r="CK21" i="2"/>
  <c r="F57" i="6"/>
  <c r="F7"/>
  <c r="DM31" i="2"/>
  <c r="DM35" s="1"/>
  <c r="J3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CJ31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6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E137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5" i="3"/>
  <c r="G39" i="1"/>
  <c r="E135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3"/>
  <c r="F88"/>
  <c r="EK18" i="2"/>
  <c r="E80" i="8"/>
  <c r="C25"/>
  <c r="F26"/>
  <c r="E42" i="3"/>
  <c r="G16" i="1"/>
  <c r="F42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1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5" i="3"/>
  <c r="F115"/>
  <c r="F121"/>
  <c r="E121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6" i="6"/>
  <c r="C73"/>
  <c r="F76"/>
  <c r="E72" i="7"/>
  <c r="F72"/>
  <c r="F78"/>
  <c r="C75"/>
  <c r="CR31" i="2"/>
  <c r="CT19"/>
  <c r="F72" i="17"/>
  <c r="CN28" i="2"/>
  <c r="F50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50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E29" i="13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G18" l="1"/>
  <c r="D18" s="1"/>
  <c r="AT31"/>
  <c r="C40" i="5"/>
  <c r="C52" s="1"/>
  <c r="C53" s="1"/>
  <c r="X33" i="2"/>
  <c r="X35"/>
  <c r="D40" i="18"/>
  <c r="D52" s="1"/>
  <c r="D53" s="1"/>
  <c r="J33" i="2"/>
  <c r="J35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T35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2" i="3"/>
  <c r="F4"/>
  <c r="AF31" i="2"/>
  <c r="AE33"/>
  <c r="J10" i="1"/>
  <c r="D10" s="1"/>
  <c r="E10" s="1"/>
  <c r="DR31" i="2"/>
  <c r="DR33" s="1"/>
  <c r="E4" i="15"/>
  <c r="D40"/>
  <c r="D51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G23" i="2"/>
  <c r="J5" i="1"/>
  <c r="D5" s="1"/>
  <c r="C37" i="13"/>
  <c r="C49" s="1"/>
  <c r="C50" s="1"/>
  <c r="DM33" i="2"/>
  <c r="E97" i="8"/>
  <c r="F29" i="2"/>
  <c r="C29" s="1"/>
  <c r="D20"/>
  <c r="P35"/>
  <c r="Q31"/>
  <c r="R33"/>
  <c r="D24"/>
  <c r="I7" i="1"/>
  <c r="E25" i="9"/>
  <c r="ER35" i="2"/>
  <c r="EM18"/>
  <c r="C20"/>
  <c r="CJ33"/>
  <c r="AS33"/>
  <c r="C14"/>
  <c r="J6" i="1"/>
  <c r="D6" s="1"/>
  <c r="CM33" i="2"/>
  <c r="DV35"/>
  <c r="Z19"/>
  <c r="DG22"/>
  <c r="DL16"/>
  <c r="U33"/>
  <c r="DH28"/>
  <c r="EN31"/>
  <c r="EN33" s="1"/>
  <c r="BS28"/>
  <c r="C40" i="15"/>
  <c r="DL22" i="2"/>
  <c r="EG19"/>
  <c r="D40" i="5"/>
  <c r="E143" i="3"/>
  <c r="S35" i="2"/>
  <c r="T31"/>
  <c r="F98" i="12"/>
  <c r="E98"/>
  <c r="CH31" i="2"/>
  <c r="CH35" s="1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CE31"/>
  <c r="AU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1" i="6"/>
  <c r="E73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2" i="3"/>
  <c r="C39" i="8"/>
  <c r="C51" s="1"/>
  <c r="C52" s="1"/>
  <c r="F143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3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D83" i="3" l="1"/>
  <c r="D84" s="1"/>
  <c r="D52" i="15"/>
  <c r="D52" i="11"/>
  <c r="D52" i="10"/>
  <c r="C51" i="9"/>
  <c r="C52" s="1"/>
  <c r="W33" i="2"/>
  <c r="C53" i="17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C37" s="1"/>
  <c r="E39" i="11"/>
  <c r="E101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3" i="3"/>
  <c r="F72"/>
  <c r="E72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E39" i="1"/>
  <c r="J21"/>
  <c r="D21" s="1"/>
  <c r="BR33" i="2"/>
  <c r="BR35"/>
  <c r="BS31"/>
  <c r="EQ35"/>
  <c r="EQ33"/>
  <c r="I38" i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D37" s="1"/>
  <c r="E37" s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3"/>
  <c r="F98" i="17"/>
  <c r="C52" i="14"/>
  <c r="I29" i="1"/>
  <c r="DJ33" i="2"/>
  <c r="DJ35"/>
  <c r="EX27"/>
  <c r="DI27"/>
  <c r="E30" i="1"/>
  <c r="K12"/>
  <c r="D12"/>
  <c r="DH31" i="2"/>
  <c r="DL31"/>
  <c r="CA35"/>
  <c r="CB31"/>
  <c r="J24" i="1"/>
  <c r="CA33" i="2"/>
  <c r="D28" i="1" l="1"/>
  <c r="K38"/>
  <c r="C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12" i="1"/>
  <c r="K24"/>
  <c r="E38" l="1"/>
  <c r="C28"/>
  <c r="E28" s="1"/>
  <c r="E31" i="2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J43"/>
  <c r="C43" l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<sst xmlns="http://schemas.openxmlformats.org/spreadsheetml/2006/main" count="2830" uniqueCount="437">
  <si>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</si>
  <si>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</si>
  <si>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</si>
  <si>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</si>
  <si>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</si>
  <si>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</si>
  <si>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</si>
  <si>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</si>
  <si>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</si>
  <si>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</si>
  <si>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</si>
  <si>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</si>
  <si>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</si>
  <si>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</si>
  <si>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</si>
  <si>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</si>
  <si>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</si>
  <si>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</si>
  <si>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</si>
  <si>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</si>
  <si>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</si>
  <si>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</si>
  <si>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</si>
  <si>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</si>
  <si>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</si>
  <si>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</si>
  <si>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</si>
  <si>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</si>
  <si>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</si>
  <si>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</si>
  <si>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</si>
  <si>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</si>
  <si>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</si>
  <si>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</si>
  <si>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</si>
  <si>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</si>
  <si>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</si>
  <si>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</si>
  <si>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</si>
  <si>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</si>
  <si>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</si>
  <si>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</si>
  <si>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</si>
  <si>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</si>
  <si>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</si>
  <si>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</si>
  <si>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</si>
  <si>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</si>
  <si>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</si>
  <si>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</si>
  <si>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</si>
  <si>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</si>
  <si>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</si>
  <si>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</si>
  <si>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</si>
  <si>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</si>
  <si>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</si>
  <si>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</si>
  <si>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</si>
  <si>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</si>
  <si>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</si>
  <si>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</si>
  <si>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</si>
  <si>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</si>
  <si>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</si>
  <si>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</si>
  <si>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</si>
  <si>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</si>
  <si>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</si>
  <si>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</si>
  <si>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</si>
  <si>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</si>
  <si>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</si>
  <si>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</si>
  <si>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</si>
  <si>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</si>
  <si>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</si>
  <si>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</si>
  <si>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</si>
  <si>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</si>
  <si>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</si>
  <si>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</si>
  <si>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</si>
  <si>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</si>
  <si>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</si>
  <si>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</si>
  <si>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</si>
  <si>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</si>
  <si>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</si>
  <si>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</si>
  <si>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</si>
  <si>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</si>
  <si>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</si>
  <si>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</si>
  <si>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</si>
  <si>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</si>
  <si>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</si>
  <si>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</si>
  <si>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</si>
  <si>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</si>
  <si>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</si>
  <si>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</si>
  <si>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</si>
  <si>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</si>
  <si>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</si>
  <si>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</si>
  <si>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</si>
  <si>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</si>
  <si>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</si>
  <si>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</si>
  <si>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</si>
  <si>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</si>
  <si>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</si>
  <si>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</si>
  <si>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</si>
  <si>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</si>
  <si>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</si>
  <si>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</si>
  <si>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</si>
  <si>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</si>
  <si>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</si>
  <si>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</si>
  <si>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</si>
  <si>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</si>
  <si>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</si>
  <si>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</si>
  <si>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</si>
  <si>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</si>
  <si>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</si>
  <si>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</si>
  <si>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</si>
  <si>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</si>
  <si>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</si>
  <si>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</si>
  <si>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</si>
  <si>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</si>
  <si>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</si>
  <si>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</si>
  <si>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</si>
  <si>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</si>
  <si>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</si>
  <si>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</si>
  <si>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</si>
  <si>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</si>
  <si>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</si>
  <si>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</si>
  <si>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</si>
  <si>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</si>
  <si>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</si>
  <si>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</si>
  <si>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</si>
  <si>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</si>
  <si>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</si>
  <si>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</si>
  <si>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</si>
  <si>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</si>
  <si>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</si>
  <si>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</si>
  <si>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</si>
  <si>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</si>
  <si>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</si>
  <si>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</si>
  <si>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</si>
  <si>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</si>
  <si>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</si>
  <si>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</si>
  <si>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</si>
  <si>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</si>
  <si>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</si>
  <si>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</si>
  <si>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</si>
  <si>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</si>
  <si>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</si>
  <si>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</si>
  <si>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</si>
  <si>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</si>
  <si>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</si>
  <si>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</si>
  <si>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</si>
  <si>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</si>
  <si>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</si>
  <si>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</si>
  <si>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</si>
  <si>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</si>
  <si>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</si>
  <si>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</si>
  <si>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</si>
  <si>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</si>
  <si>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</si>
  <si>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</si>
  <si>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</si>
  <si>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</si>
  <si>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</si>
  <si>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</si>
  <si>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</si>
  <si>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</si>
  <si>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</si>
  <si>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</si>
  <si>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</si>
  <si>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</si>
  <si>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</si>
  <si>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</si>
  <si>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</si>
  <si>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</si>
  <si>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</si>
  <si>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</si>
  <si>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</si>
  <si>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</si>
  <si>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</si>
  <si>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</si>
  <si>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</si>
  <si>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</si>
  <si>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</si>
  <si>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</si>
  <si>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</si>
  <si>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</si>
  <si>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</si>
  <si>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</si>
  <si>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</si>
  <si>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</si>
  <si>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</si>
  <si>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</si>
  <si>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</si>
  <si>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</si>
  <si>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</si>
  <si>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</si>
  <si>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</si>
  <si>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</si>
  <si>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</si>
  <si>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</si>
  <si>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</si>
  <si>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</si>
  <si>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</si>
  <si>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</si>
  <si>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</si>
  <si>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</si>
  <si>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</si>
  <si>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</si>
  <si>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</si>
  <si>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</si>
  <si>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</si>
  <si>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</si>
  <si>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</si>
  <si>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</si>
  <si>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</si>
  <si>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</si>
  <si>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</si>
  <si>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</si>
  <si>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</si>
  <si>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</si>
  <si>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</si>
  <si>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</si>
  <si>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</si>
  <si>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</si>
  <si>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</si>
  <si>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</si>
  <si>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</si>
  <si>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</si>
  <si>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</si>
  <si>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</si>
  <si>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</si>
  <si>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</si>
  <si>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</si>
  <si>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</si>
  <si>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</si>
  <si>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</si>
  <si>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</si>
  <si>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</si>
  <si>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</si>
  <si>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</si>
  <si>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</si>
  <si>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</si>
  <si>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</si>
  <si>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</si>
  <si>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</si>
  <si>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</si>
  <si>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</si>
  <si>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</si>
  <si>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</si>
  <si>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</si>
  <si>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</si>
  <si>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</si>
  <si>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</si>
  <si>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</si>
  <si>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</si>
  <si>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</si>
  <si>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</si>
  <si>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</si>
  <si>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</si>
  <si>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</si>
  <si>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</si>
  <si>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</si>
  <si>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</si>
  <si>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</si>
  <si>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</si>
  <si>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</si>
  <si>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</si>
  <si>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</si>
  <si>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</si>
  <si>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</si>
  <si>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</si>
  <si>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</si>
  <si>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</si>
  <si>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</si>
  <si>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</si>
  <si>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</si>
  <si>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</si>
  <si>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</si>
  <si>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</si>
  <si>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</si>
  <si>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</si>
  <si>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</si>
  <si>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</si>
  <si>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</si>
  <si>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</si>
  <si>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</si>
  <si>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</si>
  <si>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</si>
  <si>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</si>
  <si>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</si>
  <si>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</si>
  <si>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</si>
  <si>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</si>
  <si>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</si>
  <si>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</si>
  <si>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</si>
  <si>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</si>
  <si>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</si>
  <si>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</si>
  <si>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</si>
  <si>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</si>
  <si>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</si>
  <si>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</si>
  <si>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</si>
  <si>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</si>
  <si>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</si>
  <si>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</si>
  <si>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</si>
  <si>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</si>
  <si>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</si>
  <si>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</si>
  <si>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</si>
  <si>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</si>
  <si>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</si>
  <si>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</si>
  <si>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</si>
  <si>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</si>
  <si>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</si>
  <si>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</si>
  <si>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</si>
  <si>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</si>
  <si>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</si>
  <si>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</si>
  <si>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</si>
  <si>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</si>
  <si>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</si>
  <si>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</si>
  <si>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</si>
  <si>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</si>
  <si>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</si>
  <si>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</si>
  <si>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</si>
  <si>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</si>
  <si>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</si>
  <si>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</si>
  <si>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</si>
  <si>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</si>
  <si>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</si>
  <si>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</si>
  <si>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</si>
  <si>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</si>
  <si>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</si>
  <si>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</si>
  <si>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</si>
  <si>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</si>
  <si>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</si>
  <si>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</si>
  <si>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</si>
  <si>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</si>
  <si>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</si>
  <si>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</si>
  <si>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</si>
  <si>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</si>
  <si>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</si>
  <si>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</si>
  <si>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</si>
  <si>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</si>
  <si>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</si>
  <si>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</si>
  <si>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</si>
  <si>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</si>
  <si>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</si>
  <si>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</si>
  <si>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</si>
  <si>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</si>
  <si>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</si>
  <si>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</si>
  <si>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</si>
  <si>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</si>
  <si>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</si>
  <si>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</si>
  <si>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</si>
  <si>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</si>
  <si>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</si>
  <si>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</si>
  <si>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</si>
  <si>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</si>
  <si>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</si>
  <si>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</si>
  <si>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</si>
  <si>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</si>
  <si>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об исполнении бюджетов поселений  Моргаушского района  на 1 ноября 2018 г.</t>
  </si>
  <si>
    <t>исполнено на 01.11.2018 г</t>
  </si>
  <si>
    <t>исполнено на 01.11.2018г.</t>
  </si>
  <si>
    <t xml:space="preserve">Другие вопросы </t>
  </si>
  <si>
    <t>Доходы от эксплуатации имущества</t>
  </si>
  <si>
    <t>Анализ исполнения консолидированного бюджета Моргаушского районана 01.12.2018 г.</t>
  </si>
  <si>
    <t>исполнено на 01.12.2018 г.</t>
  </si>
  <si>
    <t xml:space="preserve">                          Моргаушского района на 01.12.2018 г. </t>
  </si>
  <si>
    <t xml:space="preserve">исполнено на 01.12.2018 г. </t>
  </si>
  <si>
    <t xml:space="preserve">                     Анализ исполнения бюджета Александровского сельского поселения на 01.12.2018 г.</t>
  </si>
  <si>
    <t>исполнен на 01.12.2018 г.</t>
  </si>
  <si>
    <t xml:space="preserve">                     Анализ исполнения бюджета Большесундырского сельского поселения на 01.12.2018 г.</t>
  </si>
  <si>
    <t xml:space="preserve">                     Анализ исполнения бюджета Ильинского сельского поселения на 01.12.2018 г.</t>
  </si>
  <si>
    <t xml:space="preserve">                     Анализ исполнения бюджета Кадикасинского сельского поселения на 01.12.2018 г.</t>
  </si>
  <si>
    <t xml:space="preserve">                     Анализ исполнения бюджета Моргаушского сельского поселения на 01.12.2018 г.</t>
  </si>
  <si>
    <t xml:space="preserve">                     Анализ исполнения бюджета Москакасинского сельского поселения на 01.12.2018 г.</t>
  </si>
  <si>
    <t xml:space="preserve">                     Анализ исполнения бюджета Орининского сельского поселения на 01.12.2018 г.</t>
  </si>
  <si>
    <t xml:space="preserve">                     Анализ исполнения бюджета Сятракасинского сельского поселения на 01.12.2018 г.</t>
  </si>
  <si>
    <t xml:space="preserve">                     Анализ исполнения бюджета Тораевского сельского поселения на 01.12.2018 г.</t>
  </si>
  <si>
    <t xml:space="preserve">                     Анализ исполнения бюджета Хорнойского сельского поселения на 01.12.2018 г.</t>
  </si>
  <si>
    <t xml:space="preserve">                     Анализ исполнения бюджета Чуманкасинского сельского поселения на 01.12.2018 г.</t>
  </si>
  <si>
    <t xml:space="preserve">                     Анализ исполнения бюджета Шатьмапосинского сельского поселения на 01.12.2018 г.</t>
  </si>
  <si>
    <t xml:space="preserve">                     Анализ исполнения бюджета Юнгинского сельского поселения на 01.12.2018 г.</t>
  </si>
  <si>
    <t xml:space="preserve">                     Анализ исполнения бюджета Юськасинского сельского поселения на 01.12.2018 г.</t>
  </si>
  <si>
    <t xml:space="preserve">                     Анализ исполнения бюджета Ярабайкасинского сельского поселения на 01.12.2018 г.</t>
  </si>
  <si>
    <t xml:space="preserve">                     Анализ исполнения бюджета Ярославского сельского поселения на 01.12.2018 г.</t>
  </si>
</sst>
</file>

<file path=xl/styles.xml><?xml version="1.0" encoding="utf-8"?>
<styleSheet xmlns="http://schemas.openxmlformats.org/spreadsheetml/2006/main">
  <numFmts count="2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15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6" fontId="5" fillId="2" borderId="1" xfId="2" applyNumberFormat="1" applyFont="1" applyFill="1" applyBorder="1" applyAlignment="1">
      <alignment horizontal="right" vertical="center" shrinkToFit="1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72" fontId="18" fillId="3" borderId="1" xfId="0" applyNumberFormat="1" applyFont="1" applyFill="1" applyBorder="1"/>
    <xf numFmtId="172" fontId="18" fillId="0" borderId="1" xfId="0" applyNumberFormat="1" applyFont="1" applyFill="1" applyBorder="1"/>
    <xf numFmtId="172" fontId="18" fillId="5" borderId="1" xfId="0" applyNumberFormat="1" applyFont="1" applyFill="1" applyBorder="1"/>
    <xf numFmtId="180" fontId="18" fillId="0" borderId="1" xfId="0" applyNumberFormat="1" applyFont="1" applyFill="1" applyBorder="1"/>
    <xf numFmtId="180" fontId="18" fillId="5" borderId="1" xfId="0" applyNumberFormat="1" applyFont="1" applyFill="1" applyBorder="1"/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75" fontId="32" fillId="0" borderId="1" xfId="11" applyNumberFormat="1" applyFont="1" applyBorder="1" applyAlignment="1">
      <alignment horizontal="right" vertical="center"/>
    </xf>
    <xf numFmtId="168" fontId="32" fillId="0" borderId="1" xfId="11" applyNumberFormat="1" applyFont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68" fontId="32" fillId="0" borderId="1" xfId="0" applyNumberFormat="1" applyFont="1" applyBorder="1" applyAlignment="1">
      <alignment horizontal="right" vertical="center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29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66" fontId="32" fillId="5" borderId="1" xfId="1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8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3D7EA1A-18B9-45D5-875D-03A7B5B97166}" diskRevisions="1" revisionId="22983" version="2">
  <header guid="{23D7EA1A-18B9-45D5-875D-03A7B5B97166}" dateTime="2019-05-10T14:13:13" maxSheetId="22" userName="1" r:id="rId68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AEB392BF_DA26_444D_A19F_E51C57137A4D_.wvu.PrintArea" hidden="1" oldHidden="1">
    <formula>Консол!$A$1:$K$50</formula>
  </rdn>
  <rdn rId="0" localSheetId="1" customView="1" name="Z_AEB392BF_DA26_444D_A19F_E51C57137A4D_.wvu.Rows" hidden="1" oldHidden="1">
    <formula>Консол!$22:$22,Консол!$43:$45,Консол!$82:$84</formula>
  </rdn>
  <rdn rId="0" localSheetId="2" customView="1" name="Z_AEB392BF_DA26_444D_A19F_E51C57137A4D_.wvu.PrintArea" hidden="1" oldHidden="1">
    <formula>Справка!$A$1:$EY$31</formula>
  </rdn>
  <rdn rId="0" localSheetId="2" customView="1" name="Z_AEB392BF_DA26_444D_A19F_E51C57137A4D_.wvu.Rows" hidden="1" oldHidden="1">
    <formula>Справка!$33:$33</formula>
  </rdn>
  <rdn rId="0" localSheetId="2" customView="1" name="Z_AEB392BF_DA26_444D_A19F_E51C57137A4D_.wvu.Cols" hidden="1" oldHidden="1">
    <formula>Справка!$AV:$AX,Справка!$BB:$BD,Справка!$BH:$BM,Справка!$BT:$BY,Справка!$CX:$DF</formula>
  </rdn>
  <rdn rId="0" localSheetId="3" customView="1" name="Z_AEB392BF_DA26_444D_A19F_E51C57137A4D_.wvu.Rows" hidden="1" oldHidden="1">
    <formula>район!$17:$18,район!$20:$20,район!$28:$30,район!$50:$51,район!$75:$75,район!$82:$82,район!$99:$99,район!$105:$105,район!$132:$134</formula>
  </rdn>
  <rdn rId="0" localSheetId="4" customView="1" name="Z_AEB392BF_DA26_444D_A19F_E51C57137A4D_.wvu.Rows" hidden="1" oldHidden="1">
    <formula>Але!$19:$24,Але!$44:$44,Але!$46:$46,Але!$53:$53,Але!$55:$56,Але!$63:$64,Але!$73:$74,Але!$78:$82,Але!$86:$88</formula>
  </rdn>
  <rdn rId="0" localSheetId="5" customView="1" name="Z_AEB392BF_DA26_444D_A19F_E51C57137A4D_.wvu.Rows" hidden="1" oldHidden="1">
    <formula>Сун!$19:$24,Сун!$49:$51,Сун!$58:$58,Сун!$60:$61,Сун!$68:$69,Сун!$78:$79,Сун!$81:$81,Сун!$87:$88,Сун!$92:$96</formula>
  </rdn>
  <rdn rId="0" localSheetId="6" customView="1" name="Z_AEB392BF_DA26_444D_A19F_E51C57137A4D_.wvu.PrintArea" hidden="1" oldHidden="1">
    <formula>Иль!$A$1:$F$104</formula>
  </rdn>
  <rdn rId="0" localSheetId="6" customView="1" name="Z_AEB392BF_DA26_444D_A19F_E51C57137A4D_.wvu.Rows" hidden="1" oldHidden="1">
    <formula>Иль!$19:$24,Иль!$30:$31,Иль!$33:$33,Иль!$45:$45,Иль!$50:$50,Иль!$60:$61,Иль!$68:$69,Иль!$78:$79,Иль!$81:$81,Иль!$93:$97</formula>
  </rdn>
  <rdn rId="0" localSheetId="7" customView="1" name="Z_AEB392BF_DA26_444D_A19F_E51C57137A4D_.wvu.Rows" hidden="1" oldHidden="1">
    <formula>Кад!$19:$24,Кад!$44:$44,Кад!$56:$56,Кад!$58:$59,Кад!$66:$67,Кад!$82:$84,Кад!$88:$95</formula>
  </rdn>
  <rdn rId="0" localSheetId="8" customView="1" name="Z_AEB392BF_DA26_444D_A19F_E51C57137A4D_.wvu.PrintArea" hidden="1" oldHidden="1">
    <formula>Мор!$A$1:$F$100</formula>
  </rdn>
  <rdn rId="0" localSheetId="8" customView="1" name="Z_AEB392BF_DA26_444D_A19F_E51C57137A4D_.wvu.Rows" hidden="1" oldHidden="1">
    <formula>Мор!$21:$21,Мор!$23:$23,Мор!$37:$37,Мор!$44:$44,Мор!$47:$47,Мор!$49:$50,Мор!$57:$57,Мор!$59:$60,Мор!$67:$68,Мор!$82:$87,Мор!$90:$96</formula>
  </rdn>
  <rdn rId="0" localSheetId="9" customView="1" name="Z_AEB392BF_DA26_444D_A19F_E51C57137A4D_.wvu.Rows" hidden="1" oldHidden="1">
    <formula>Мос!$19:$24,Мос!$44:$44,Мос!$57:$57,Мос!$59:$60,Мос!$67:$68,Мос!$80:$80,Мос!$82:$88,Мос!$93:$98</formula>
  </rdn>
  <rdn rId="0" localSheetId="10" customView="1" name="Z_AEB392BF_DA26_444D_A19F_E51C57137A4D_.wvu.Rows" hidden="1" oldHidden="1">
    <formula>Ори!$19:$24,Ори!$32:$32,Ори!$44:$44,Ори!$48:$50,Ори!$57:$57,Ори!$59:$60,Ори!$67:$68,Ори!$77:$78,Ори!$80:$80,Ори!$82:$86,Ори!$90:$97</formula>
  </rdn>
  <rdn rId="0" localSheetId="11" customView="1" name="Z_AEB392BF_DA26_444D_A19F_E51C57137A4D_.wvu.Rows" hidden="1" oldHidden="1">
    <formula>Сят!$19:$19,Сят!$45:$47,Сят!$57:$57,Сят!$59:$60,Сят!$67:$68,Сят!$82:$85,Сят!$89:$96</formula>
  </rdn>
  <rdn rId="0" localSheetId="12" customView="1" name="Z_AEB392BF_DA26_444D_A19F_E51C57137A4D_.wvu.PrintArea" hidden="1" oldHidden="1">
    <formula>Тор!$A$1:$F$101</formula>
  </rdn>
  <rdn rId="0" localSheetId="12" customView="1" name="Z_AEB392BF_DA26_444D_A19F_E51C57137A4D_.wvu.Rows" hidden="1" oldHidden="1">
    <formula>Тор!$19:$19,Тор!$50:$50,Тор!$57:$57,Тор!$59:$60,Тор!$67:$68,Тор!$74:$74,Тор!$78:$79,Тор!$82:$93</formula>
  </rdn>
  <rdn rId="0" localSheetId="13" customView="1" name="Z_AEB392BF_DA26_444D_A19F_E51C57137A4D_.wvu.Rows" hidden="1" oldHidden="1">
    <formula>Хор!$19:$24,Хор!$32:$32,Хор!$40:$40,Хор!$44:$44,Хор!$55:$55,Хор!$57:$58,Хор!$65:$66,Хор!$80:$84,Хор!$87:$94</formula>
  </rdn>
  <rdn rId="0" localSheetId="14" customView="1" name="Z_AEB392BF_DA26_444D_A19F_E51C57137A4D_.wvu.Rows" hidden="1" oldHidden="1">
    <formula>Чум!$19:$19,Чум!$21:$21,Чум!$23:$24,Чум!$47:$49,Чум!$57:$57,Чум!$59:$60,Чум!$67:$68,Чум!$82:$86,Чум!$89:$96</formula>
  </rdn>
  <rdn rId="0" localSheetId="15" customView="1" name="Z_AEB392BF_DA26_444D_A19F_E51C57137A4D_.wvu.Rows" hidden="1" oldHidden="1">
    <formula>Шать!$19:$24,Шать!$47:$49,Шать!$57:$57,Шать!$59:$60,Шать!$67:$68,Шать!$77:$78,Шать!$82:$86,Шать!$89:$96</formula>
  </rdn>
  <rdn rId="0" localSheetId="16" customView="1" name="Z_AEB392BF_DA26_444D_A19F_E51C57137A4D_.wvu.PrintArea" hidden="1" oldHidden="1">
    <formula>Юнг!$A$1:$F$99</formula>
  </rdn>
  <rdn rId="0" localSheetId="16" customView="1" name="Z_AEB392BF_DA26_444D_A19F_E51C57137A4D_.wvu.Rows" hidden="1" oldHidden="1">
    <formula>Юнг!$19:$24,Юнг!$32:$32,Юнг!$49:$49,Юнг!$56:$56,Юнг!$58:$59,Юнг!$66:$67,Юнг!$81:$85,Юнг!$88:$95</formula>
  </rdn>
  <rdn rId="0" localSheetId="17" customView="1" name="Z_AEB392BF_DA26_444D_A19F_E51C57137A4D_.wvu.Rows" hidden="1" oldHidden="1">
    <formula>Юсь!$20:$24,Юсь!$40:$40,Юсь!$44:$49,Юсь!$58:$58,Юсь!$60:$61,Юсь!$68:$69,Юсь!$78:$79,Юсь!$82:$87,Юсь!$90:$97</formula>
  </rdn>
  <rdn rId="0" localSheetId="18" customView="1" name="Z_AEB392BF_DA26_444D_A19F_E51C57137A4D_.wvu.PrintArea" hidden="1" oldHidden="1">
    <formula>Яра!$A$1:$F$102</formula>
  </rdn>
  <rdn rId="0" localSheetId="18" customView="1" name="Z_AEB392BF_DA26_444D_A19F_E51C57137A4D_.wvu.Rows" hidden="1" oldHidden="1">
    <formula>Яра!$19:$24,Яра!$46:$50,Яра!$58:$58,Яра!$60:$61,Яра!$68:$69,Яра!$79:$79,Яра!$82:$88,Яра!$91:$98</formula>
  </rdn>
  <rdn rId="0" localSheetId="19" customView="1" name="Z_AEB392BF_DA26_444D_A19F_E51C57137A4D_.wvu.Rows" hidden="1" oldHidden="1">
    <formula>Яро!$19:$24,Яро!$29:$30,Яро!$32:$32,Яро!$43:$43,Яро!$54:$54,Яро!$56:$57,Яро!$64:$65,Яро!$74:$75,Яро!$79:$84,Яро!$86:$93</formula>
  </rdn>
  <rdn rId="0" localSheetId="20" customView="1" name="Z_AEB392BF_DA26_444D_A19F_E51C57137A4D_.wvu.Rows" hidden="1" oldHidden="1">
    <formula>Лист1!$82:$84</formula>
  </rdn>
  <rcv guid="{AEB392BF-DA26-444D-A19F-E51C57137A4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54.bin"/><Relationship Id="rId1" Type="http://schemas.openxmlformats.org/officeDocument/2006/relationships/printerSettings" Target="../printerSettings/printerSettings153.bin"/><Relationship Id="rId6" Type="http://schemas.openxmlformats.org/officeDocument/2006/relationships/printerSettings" Target="../printerSettings/printerSettings158.bin"/><Relationship Id="rId5" Type="http://schemas.openxmlformats.org/officeDocument/2006/relationships/printerSettings" Target="../printerSettings/printerSettings157.bin"/><Relationship Id="rId4" Type="http://schemas.openxmlformats.org/officeDocument/2006/relationships/printerSettings" Target="../printerSettings/printerSettings15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abSelected="1" zoomScaleNormal="100" zoomScaleSheetLayoutView="80" workbookViewId="0">
      <selection sqref="A1:K1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74" t="s">
        <v>416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123"/>
      <c r="M1" s="123"/>
      <c r="N1" s="123"/>
      <c r="O1" s="123"/>
    </row>
    <row r="2" spans="1:15" ht="33.75" customHeight="1">
      <c r="A2" s="472" t="s">
        <v>181</v>
      </c>
      <c r="B2" s="473" t="s">
        <v>182</v>
      </c>
      <c r="C2" s="469" t="s">
        <v>183</v>
      </c>
      <c r="D2" s="470"/>
      <c r="E2" s="470"/>
      <c r="F2" s="469" t="s">
        <v>184</v>
      </c>
      <c r="G2" s="470"/>
      <c r="H2" s="470"/>
      <c r="I2" s="469" t="s">
        <v>185</v>
      </c>
      <c r="J2" s="470"/>
      <c r="K2" s="475"/>
    </row>
    <row r="3" spans="1:15" ht="53.25" customHeight="1">
      <c r="A3" s="472"/>
      <c r="B3" s="473"/>
      <c r="C3" s="78" t="s">
        <v>347</v>
      </c>
      <c r="D3" s="78" t="s">
        <v>417</v>
      </c>
      <c r="E3" s="138" t="s">
        <v>332</v>
      </c>
      <c r="F3" s="78" t="s">
        <v>347</v>
      </c>
      <c r="G3" s="78" t="s">
        <v>417</v>
      </c>
      <c r="H3" s="138" t="s">
        <v>332</v>
      </c>
      <c r="I3" s="78" t="s">
        <v>347</v>
      </c>
      <c r="J3" s="78" t="s">
        <v>417</v>
      </c>
      <c r="K3" s="78" t="s">
        <v>332</v>
      </c>
    </row>
    <row r="4" spans="1:15" s="80" customFormat="1" ht="30.75" customHeight="1">
      <c r="A4" s="79" t="s">
        <v>5</v>
      </c>
      <c r="B4" s="76"/>
      <c r="C4" s="303">
        <f>SUM(C5:C13)</f>
        <v>161543.74870000003</v>
      </c>
      <c r="D4" s="303">
        <f>SUM(D5:D13)</f>
        <v>144934.15435999999</v>
      </c>
      <c r="E4" s="303">
        <f>D4/C4*100</f>
        <v>89.718206694060683</v>
      </c>
      <c r="F4" s="303">
        <f>SUM(F5:F13)</f>
        <v>126604</v>
      </c>
      <c r="G4" s="303">
        <f>SUM(G5:G13)</f>
        <v>113913.93468999999</v>
      </c>
      <c r="H4" s="303">
        <f>G4/F4*100</f>
        <v>89.976568425958106</v>
      </c>
      <c r="I4" s="303">
        <f>I5+I7+I6+I8+I10+I11+I12+I13</f>
        <v>34939.748700000004</v>
      </c>
      <c r="J4" s="303">
        <f>J5+J6+J7+J8+J10+J11+J12+J13</f>
        <v>31020.219669999999</v>
      </c>
      <c r="K4" s="303">
        <f>J4/I4*100</f>
        <v>88.782034285209363</v>
      </c>
    </row>
    <row r="5" spans="1:15" ht="27" customHeight="1">
      <c r="A5" s="81" t="s">
        <v>186</v>
      </c>
      <c r="B5" s="77">
        <v>10102</v>
      </c>
      <c r="C5" s="304">
        <f t="shared" ref="C5:D8" si="0">F5+I5</f>
        <v>110821.9</v>
      </c>
      <c r="D5" s="304">
        <f t="shared" si="0"/>
        <v>98445.647239999991</v>
      </c>
      <c r="E5" s="305">
        <f t="shared" ref="E5:E12" si="1">D5/C5*100</f>
        <v>88.83230412039498</v>
      </c>
      <c r="F5" s="304">
        <f>район!C5</f>
        <v>105620</v>
      </c>
      <c r="G5" s="304">
        <f>район!D5</f>
        <v>93872.734689999997</v>
      </c>
      <c r="H5" s="305">
        <f t="shared" ref="H5:H41" si="2">G5/F5*100</f>
        <v>88.877802206021585</v>
      </c>
      <c r="I5" s="304">
        <f>Справка!I31</f>
        <v>5201.9000000000005</v>
      </c>
      <c r="J5" s="304">
        <f>Справка!J31</f>
        <v>4572.91255</v>
      </c>
      <c r="K5" s="305">
        <f t="shared" ref="K5:K12" si="3">J5/I5*100</f>
        <v>87.908505546050478</v>
      </c>
    </row>
    <row r="6" spans="1:15" ht="41.25" customHeight="1">
      <c r="A6" s="81" t="s">
        <v>284</v>
      </c>
      <c r="B6" s="77">
        <v>10300</v>
      </c>
      <c r="C6" s="304">
        <f t="shared" si="0"/>
        <v>12553.1067</v>
      </c>
      <c r="D6" s="304">
        <f t="shared" si="0"/>
        <v>12029.820739999999</v>
      </c>
      <c r="E6" s="305">
        <f t="shared" si="1"/>
        <v>95.831422670851666</v>
      </c>
      <c r="F6" s="304">
        <f>район!C7</f>
        <v>4417.8600000000006</v>
      </c>
      <c r="G6" s="304">
        <f>район!D7</f>
        <v>4229.0401199999997</v>
      </c>
      <c r="H6" s="305">
        <f t="shared" si="2"/>
        <v>95.725987695400022</v>
      </c>
      <c r="I6" s="304">
        <f>Справка!L31+Справка!R31+Справка!O31</f>
        <v>8135.2466999999997</v>
      </c>
      <c r="J6" s="304">
        <f>Справка!M31+Справка!S31+Справка!P31+Справка!V31</f>
        <v>7800.7806200000005</v>
      </c>
      <c r="K6" s="305">
        <f t="shared" si="3"/>
        <v>95.888679319337683</v>
      </c>
    </row>
    <row r="7" spans="1:15" ht="19.5" customHeight="1">
      <c r="A7" s="81" t="s">
        <v>187</v>
      </c>
      <c r="B7" s="77">
        <v>10500</v>
      </c>
      <c r="C7" s="304">
        <f t="shared" si="0"/>
        <v>12322</v>
      </c>
      <c r="D7" s="304">
        <f t="shared" si="0"/>
        <v>11860.778279999999</v>
      </c>
      <c r="E7" s="305">
        <f t="shared" si="1"/>
        <v>96.256924849862031</v>
      </c>
      <c r="F7" s="304">
        <f>район!C12</f>
        <v>11852</v>
      </c>
      <c r="G7" s="304">
        <f>район!D12</f>
        <v>11435.548839999999</v>
      </c>
      <c r="H7" s="305">
        <f t="shared" si="2"/>
        <v>96.486237259534249</v>
      </c>
      <c r="I7" s="304">
        <f>Справка!X31</f>
        <v>470</v>
      </c>
      <c r="J7" s="304">
        <f>Справка!Y31</f>
        <v>425.22943999999995</v>
      </c>
      <c r="K7" s="305">
        <f t="shared" si="3"/>
        <v>90.474348936170202</v>
      </c>
    </row>
    <row r="8" spans="1:15" ht="19.5" customHeight="1">
      <c r="A8" s="81" t="s">
        <v>188</v>
      </c>
      <c r="B8" s="77">
        <v>10601</v>
      </c>
      <c r="C8" s="304">
        <f t="shared" si="0"/>
        <v>3021.4</v>
      </c>
      <c r="D8" s="304">
        <f t="shared" si="0"/>
        <v>3099.5407799999998</v>
      </c>
      <c r="E8" s="305">
        <f t="shared" si="1"/>
        <v>102.58624412523996</v>
      </c>
      <c r="F8" s="304"/>
      <c r="G8" s="304"/>
      <c r="H8" s="305"/>
      <c r="I8" s="304">
        <f>Справка!AA31</f>
        <v>3021.4</v>
      </c>
      <c r="J8" s="304">
        <f>Справка!AB31</f>
        <v>3099.5407799999998</v>
      </c>
      <c r="K8" s="305">
        <f t="shared" si="3"/>
        <v>102.58624412523996</v>
      </c>
    </row>
    <row r="9" spans="1:15" ht="19.5" customHeight="1">
      <c r="A9" s="81" t="s">
        <v>285</v>
      </c>
      <c r="B9" s="77">
        <v>10604</v>
      </c>
      <c r="C9" s="304">
        <f>F9</f>
        <v>1915</v>
      </c>
      <c r="D9" s="304">
        <f>G9</f>
        <v>1679.72902</v>
      </c>
      <c r="E9" s="305">
        <f t="shared" si="1"/>
        <v>87.714309138381196</v>
      </c>
      <c r="F9" s="304">
        <f>район!C16</f>
        <v>1915</v>
      </c>
      <c r="G9" s="304">
        <f>район!D19</f>
        <v>1679.72902</v>
      </c>
      <c r="H9" s="305">
        <f t="shared" si="2"/>
        <v>87.714309138381196</v>
      </c>
      <c r="I9" s="304"/>
      <c r="J9" s="304"/>
      <c r="K9" s="305"/>
    </row>
    <row r="10" spans="1:15" ht="19.5" customHeight="1">
      <c r="A10" s="81" t="s">
        <v>189</v>
      </c>
      <c r="B10" s="77">
        <v>10606</v>
      </c>
      <c r="C10" s="304">
        <f t="shared" ref="C10:D13" si="4">F10+I10</f>
        <v>17949.2</v>
      </c>
      <c r="D10" s="304">
        <f t="shared" si="4"/>
        <v>14992.453070000001</v>
      </c>
      <c r="E10" s="305">
        <f t="shared" si="1"/>
        <v>83.52713808971987</v>
      </c>
      <c r="F10" s="304"/>
      <c r="G10" s="304"/>
      <c r="H10" s="305">
        <v>0</v>
      </c>
      <c r="I10" s="304">
        <f>Справка!AD31</f>
        <v>17949.2</v>
      </c>
      <c r="J10" s="304">
        <f>Справка!AE31</f>
        <v>14992.453070000001</v>
      </c>
      <c r="K10" s="305">
        <f t="shared" si="3"/>
        <v>83.52713808971987</v>
      </c>
    </row>
    <row r="11" spans="1:15" ht="33.75" customHeight="1">
      <c r="A11" s="81" t="s">
        <v>190</v>
      </c>
      <c r="B11" s="77">
        <v>10701</v>
      </c>
      <c r="C11" s="304">
        <f t="shared" si="4"/>
        <v>199.14</v>
      </c>
      <c r="D11" s="304">
        <f t="shared" si="4"/>
        <v>151.76222999999999</v>
      </c>
      <c r="E11" s="305">
        <f t="shared" si="1"/>
        <v>76.208812895450436</v>
      </c>
      <c r="F11" s="304">
        <f>район!C21</f>
        <v>199.14</v>
      </c>
      <c r="G11" s="304">
        <f>район!D21</f>
        <v>151.76222999999999</v>
      </c>
      <c r="H11" s="305">
        <f t="shared" si="2"/>
        <v>76.208812895450436</v>
      </c>
      <c r="I11" s="304"/>
      <c r="J11" s="304"/>
      <c r="K11" s="305">
        <v>0</v>
      </c>
    </row>
    <row r="12" spans="1:15" ht="19.5" customHeight="1">
      <c r="A12" s="81" t="s">
        <v>191</v>
      </c>
      <c r="B12" s="77">
        <v>10800</v>
      </c>
      <c r="C12" s="304">
        <f t="shared" si="4"/>
        <v>2762.002</v>
      </c>
      <c r="D12" s="304">
        <f t="shared" si="4"/>
        <v>2674.4230000000002</v>
      </c>
      <c r="E12" s="305">
        <f t="shared" si="1"/>
        <v>96.829147842760449</v>
      </c>
      <c r="F12" s="304">
        <f>район!C23</f>
        <v>2600</v>
      </c>
      <c r="G12" s="304">
        <f>район!D23</f>
        <v>2545.1197900000002</v>
      </c>
      <c r="H12" s="305">
        <f t="shared" si="2"/>
        <v>97.889222692307698</v>
      </c>
      <c r="I12" s="304">
        <f>Справка!AG31</f>
        <v>162.00200000000001</v>
      </c>
      <c r="J12" s="304">
        <f>Справка!AH31</f>
        <v>129.30321000000004</v>
      </c>
      <c r="K12" s="305">
        <f t="shared" si="3"/>
        <v>79.815810915914625</v>
      </c>
    </row>
    <row r="13" spans="1:15" ht="19.5" customHeight="1">
      <c r="A13" s="81" t="s">
        <v>192</v>
      </c>
      <c r="B13" s="77">
        <v>10900</v>
      </c>
      <c r="C13" s="304">
        <f t="shared" si="4"/>
        <v>0</v>
      </c>
      <c r="D13" s="304">
        <f t="shared" si="4"/>
        <v>0</v>
      </c>
      <c r="E13" s="305"/>
      <c r="F13" s="304">
        <f>район!C27</f>
        <v>0</v>
      </c>
      <c r="G13" s="304">
        <f>район!D27</f>
        <v>0</v>
      </c>
      <c r="H13" s="305"/>
      <c r="I13" s="304">
        <f>Справка!AJ31</f>
        <v>0</v>
      </c>
      <c r="J13" s="304">
        <f>Справка!AK31</f>
        <v>0</v>
      </c>
      <c r="K13" s="305"/>
    </row>
    <row r="14" spans="1:15" s="80" customFormat="1" ht="27" customHeight="1">
      <c r="A14" s="79" t="s">
        <v>13</v>
      </c>
      <c r="B14" s="76"/>
      <c r="C14" s="303">
        <f>SUM(C15:C21)</f>
        <v>33566.530899999998</v>
      </c>
      <c r="D14" s="303">
        <f>SUM(D15:D21)</f>
        <v>25566.751689999997</v>
      </c>
      <c r="E14" s="303">
        <f t="shared" ref="E14:E39" si="5">D14/C14*100</f>
        <v>76.167393544979063</v>
      </c>
      <c r="F14" s="303">
        <f>F15+F16+F17+F18+F20+F21+F19</f>
        <v>30280.277000000002</v>
      </c>
      <c r="G14" s="303">
        <f>G15+G16+G17+G18+G20+G21+G19</f>
        <v>22987.763289999999</v>
      </c>
      <c r="H14" s="303">
        <f t="shared" si="2"/>
        <v>75.916621535529544</v>
      </c>
      <c r="I14" s="306">
        <f>I15+I16+I17+I18+I20+I21+I26</f>
        <v>3286.2539000000002</v>
      </c>
      <c r="J14" s="306">
        <f>J15+J16+J17+J18+J20+J21+J26</f>
        <v>2578.9884000000002</v>
      </c>
      <c r="K14" s="303">
        <f>J14/I14*100</f>
        <v>78.47806281797034</v>
      </c>
    </row>
    <row r="15" spans="1:15" ht="52.5" customHeight="1">
      <c r="A15" s="81" t="s">
        <v>193</v>
      </c>
      <c r="B15" s="77">
        <v>11100</v>
      </c>
      <c r="C15" s="304">
        <f t="shared" ref="C15:D22" si="6">F15+I15</f>
        <v>12487.599999999999</v>
      </c>
      <c r="D15" s="304">
        <f t="shared" si="6"/>
        <v>10971.475519999998</v>
      </c>
      <c r="E15" s="304">
        <f t="shared" si="5"/>
        <v>87.858960248566575</v>
      </c>
      <c r="F15" s="304">
        <f>район!C33</f>
        <v>10556.3</v>
      </c>
      <c r="G15" s="304">
        <f>район!D33</f>
        <v>9783.6935099999973</v>
      </c>
      <c r="H15" s="304">
        <f t="shared" si="2"/>
        <v>92.681086270757731</v>
      </c>
      <c r="I15" s="304">
        <f>Справка!AP31+Справка!AS31+Справка!AM31</f>
        <v>1931.3</v>
      </c>
      <c r="J15" s="304">
        <f>Справка!AQ31+Справка!AT31+Справка!AN31</f>
        <v>1187.7820100000001</v>
      </c>
      <c r="K15" s="305">
        <f>J15/I15*100</f>
        <v>61.501683322114644</v>
      </c>
    </row>
    <row r="16" spans="1:15" ht="33" customHeight="1">
      <c r="A16" s="81" t="s">
        <v>194</v>
      </c>
      <c r="B16" s="77">
        <v>11200</v>
      </c>
      <c r="C16" s="304">
        <f t="shared" si="6"/>
        <v>670</v>
      </c>
      <c r="D16" s="304">
        <f t="shared" si="6"/>
        <v>678.52874999999995</v>
      </c>
      <c r="E16" s="304">
        <f t="shared" si="5"/>
        <v>101.27294776119402</v>
      </c>
      <c r="F16" s="304">
        <f>район!C42</f>
        <v>670</v>
      </c>
      <c r="G16" s="304">
        <f>район!D42</f>
        <v>678.52874999999995</v>
      </c>
      <c r="H16" s="304">
        <f t="shared" si="2"/>
        <v>101.27294776119402</v>
      </c>
      <c r="I16" s="304">
        <v>0</v>
      </c>
      <c r="J16" s="304">
        <v>0</v>
      </c>
      <c r="K16" s="305">
        <v>0</v>
      </c>
    </row>
    <row r="17" spans="1:13" ht="33" customHeight="1">
      <c r="A17" s="81" t="s">
        <v>195</v>
      </c>
      <c r="B17" s="77">
        <v>11300</v>
      </c>
      <c r="C17" s="304">
        <f t="shared" si="6"/>
        <v>894</v>
      </c>
      <c r="D17" s="304">
        <f t="shared" si="6"/>
        <v>1179.9053799999999</v>
      </c>
      <c r="E17" s="304">
        <f>D17/C17*100</f>
        <v>131.98046756152124</v>
      </c>
      <c r="F17" s="304">
        <f>район!C44</f>
        <v>129</v>
      </c>
      <c r="G17" s="304">
        <f>район!D44</f>
        <v>360.12027</v>
      </c>
      <c r="H17" s="304">
        <f t="shared" si="2"/>
        <v>279.16300000000001</v>
      </c>
      <c r="I17" s="304">
        <f>Справка!AY31</f>
        <v>765</v>
      </c>
      <c r="J17" s="304">
        <f>Справка!AZ31</f>
        <v>819.78510999999992</v>
      </c>
      <c r="K17" s="305">
        <f>J17/I17*100</f>
        <v>107.1614522875817</v>
      </c>
    </row>
    <row r="18" spans="1:13" ht="33" customHeight="1">
      <c r="A18" s="81" t="s">
        <v>196</v>
      </c>
      <c r="B18" s="77">
        <v>11400</v>
      </c>
      <c r="C18" s="304">
        <f t="shared" si="6"/>
        <v>9914.9770000000008</v>
      </c>
      <c r="D18" s="304">
        <f t="shared" si="6"/>
        <v>2620.9416500000002</v>
      </c>
      <c r="E18" s="304">
        <f t="shared" si="5"/>
        <v>26.434167724241821</v>
      </c>
      <c r="F18" s="304">
        <f>район!C47</f>
        <v>9328.9770000000008</v>
      </c>
      <c r="G18" s="304">
        <f>район!D47</f>
        <v>2010.9256500000001</v>
      </c>
      <c r="H18" s="304">
        <f t="shared" si="2"/>
        <v>21.555693084032686</v>
      </c>
      <c r="I18" s="304">
        <f>Справка!BE31</f>
        <v>586</v>
      </c>
      <c r="J18" s="304">
        <f>Справка!BF31</f>
        <v>610.01600000000008</v>
      </c>
      <c r="K18" s="305">
        <f>J18/I18*100</f>
        <v>104.09829351535838</v>
      </c>
    </row>
    <row r="19" spans="1:13" ht="23.25" customHeight="1">
      <c r="A19" s="81" t="s">
        <v>251</v>
      </c>
      <c r="B19" s="77">
        <v>11500</v>
      </c>
      <c r="C19" s="304">
        <f t="shared" si="6"/>
        <v>0</v>
      </c>
      <c r="D19" s="304">
        <f t="shared" si="6"/>
        <v>0</v>
      </c>
      <c r="E19" s="304"/>
      <c r="F19" s="304">
        <f>район!C50</f>
        <v>0</v>
      </c>
      <c r="G19" s="304">
        <f>район!D50</f>
        <v>0</v>
      </c>
      <c r="H19" s="304"/>
      <c r="I19" s="304"/>
      <c r="J19" s="304"/>
      <c r="K19" s="305"/>
    </row>
    <row r="20" spans="1:13" ht="22.5" customHeight="1">
      <c r="A20" s="81" t="s">
        <v>197</v>
      </c>
      <c r="B20" s="77">
        <v>11600</v>
      </c>
      <c r="C20" s="304">
        <f t="shared" si="6"/>
        <v>9599.9539000000004</v>
      </c>
      <c r="D20" s="304">
        <f t="shared" si="6"/>
        <v>10192.60218</v>
      </c>
      <c r="E20" s="304">
        <f t="shared" si="5"/>
        <v>106.17344922875098</v>
      </c>
      <c r="F20" s="304">
        <f>район!C52</f>
        <v>9596</v>
      </c>
      <c r="G20" s="304">
        <f>район!D52</f>
        <v>10154.46911</v>
      </c>
      <c r="H20" s="304">
        <f t="shared" si="2"/>
        <v>105.81981148395165</v>
      </c>
      <c r="I20" s="304">
        <f>Справка!BN31</f>
        <v>3.9539</v>
      </c>
      <c r="J20" s="304">
        <f>Справка!BO31</f>
        <v>38.133070000000004</v>
      </c>
      <c r="K20" s="305">
        <v>0</v>
      </c>
    </row>
    <row r="21" spans="1:13" ht="31.5" customHeight="1">
      <c r="A21" s="81" t="s">
        <v>198</v>
      </c>
      <c r="B21" s="77">
        <v>11700</v>
      </c>
      <c r="C21" s="304">
        <f t="shared" si="6"/>
        <v>0</v>
      </c>
      <c r="D21" s="304">
        <f t="shared" si="6"/>
        <v>-76.701790000000017</v>
      </c>
      <c r="E21" s="304"/>
      <c r="F21" s="304">
        <f>район!C69</f>
        <v>0</v>
      </c>
      <c r="G21" s="304">
        <f>район!D69</f>
        <v>2.5999999999999999E-2</v>
      </c>
      <c r="H21" s="304"/>
      <c r="I21" s="304">
        <f>Справка!BQ31</f>
        <v>0</v>
      </c>
      <c r="J21" s="304">
        <f>Справка!BR31</f>
        <v>-76.727790000000013</v>
      </c>
      <c r="K21" s="305">
        <v>0</v>
      </c>
    </row>
    <row r="22" spans="1:13" ht="45.75" hidden="1" customHeight="1">
      <c r="A22" s="79" t="s">
        <v>199</v>
      </c>
      <c r="B22" s="76">
        <v>30000</v>
      </c>
      <c r="C22" s="303">
        <f t="shared" si="6"/>
        <v>0</v>
      </c>
      <c r="D22" s="303">
        <f t="shared" si="6"/>
        <v>0</v>
      </c>
      <c r="E22" s="303"/>
      <c r="F22" s="303">
        <v>0</v>
      </c>
      <c r="G22" s="303">
        <v>0</v>
      </c>
      <c r="H22" s="303"/>
      <c r="I22" s="303">
        <v>0</v>
      </c>
      <c r="J22" s="303">
        <v>0</v>
      </c>
      <c r="K22" s="303"/>
    </row>
    <row r="23" spans="1:13" ht="36.75" customHeight="1">
      <c r="A23" s="79" t="s">
        <v>19</v>
      </c>
      <c r="B23" s="76">
        <v>10000</v>
      </c>
      <c r="C23" s="306">
        <f>SUM(C4,C14,C22,)</f>
        <v>195110.27960000001</v>
      </c>
      <c r="D23" s="306">
        <f>SUM(D4,D14,)</f>
        <v>170500.90604999999</v>
      </c>
      <c r="E23" s="303">
        <f t="shared" si="5"/>
        <v>87.386941579678819</v>
      </c>
      <c r="F23" s="306">
        <f>SUM(F4,F14,)</f>
        <v>156884.277</v>
      </c>
      <c r="G23" s="307">
        <f>SUM(G4,G14,G22)</f>
        <v>136901.69798</v>
      </c>
      <c r="H23" s="303">
        <f t="shared" si="2"/>
        <v>87.262854250206345</v>
      </c>
      <c r="I23" s="306">
        <f>I4+I14</f>
        <v>38226.002600000007</v>
      </c>
      <c r="J23" s="306">
        <f>J4+J14</f>
        <v>33599.208070000001</v>
      </c>
      <c r="K23" s="303">
        <f>J23/I23*100</f>
        <v>87.896211439068949</v>
      </c>
    </row>
    <row r="24" spans="1:13" ht="33" customHeight="1">
      <c r="A24" s="79" t="s">
        <v>200</v>
      </c>
      <c r="B24" s="76">
        <v>20200</v>
      </c>
      <c r="C24" s="308">
        <v>579436.54263000004</v>
      </c>
      <c r="D24" s="308">
        <v>523741.05066000001</v>
      </c>
      <c r="E24" s="306">
        <f t="shared" si="5"/>
        <v>90.387991113366056</v>
      </c>
      <c r="F24" s="306">
        <f>район!C73</f>
        <v>599774.97263000009</v>
      </c>
      <c r="G24" s="306">
        <f>район!D73</f>
        <v>541720.83525000012</v>
      </c>
      <c r="H24" s="303">
        <f t="shared" si="2"/>
        <v>90.32068025022221</v>
      </c>
      <c r="I24" s="306">
        <f>Справка!BZ31</f>
        <v>70128.664980000001</v>
      </c>
      <c r="J24" s="306">
        <f>Справка!CA31</f>
        <v>61101.499149999996</v>
      </c>
      <c r="K24" s="303">
        <f t="shared" ref="K24:K38" si="7">J24/I24*100</f>
        <v>87.127709000913583</v>
      </c>
    </row>
    <row r="25" spans="1:13" ht="33" customHeight="1">
      <c r="A25" s="79" t="s">
        <v>303</v>
      </c>
      <c r="B25" s="76">
        <v>20700</v>
      </c>
      <c r="C25" s="309">
        <f>F25+I25</f>
        <v>3214.2710000000002</v>
      </c>
      <c r="D25" s="309">
        <f>G25+J25</f>
        <v>3767.9702999999995</v>
      </c>
      <c r="E25" s="306">
        <f t="shared" si="5"/>
        <v>117.22627930252301</v>
      </c>
      <c r="F25" s="306"/>
      <c r="G25" s="306"/>
      <c r="H25" s="303"/>
      <c r="I25" s="306">
        <f>Справка!CR31</f>
        <v>3214.2710000000002</v>
      </c>
      <c r="J25" s="306">
        <f>Справка!CS31</f>
        <v>3767.9702999999995</v>
      </c>
      <c r="K25" s="303">
        <f t="shared" si="7"/>
        <v>117.22627930252301</v>
      </c>
    </row>
    <row r="26" spans="1:13" ht="33" customHeight="1">
      <c r="A26" s="79" t="s">
        <v>263</v>
      </c>
      <c r="B26" s="77">
        <v>21900</v>
      </c>
      <c r="C26" s="309">
        <f>F26+I26</f>
        <v>-4.22</v>
      </c>
      <c r="D26" s="309">
        <f>G26+J26</f>
        <v>-490.62220000000002</v>
      </c>
      <c r="E26" s="306"/>
      <c r="F26" s="305">
        <f>район!C81</f>
        <v>-4.22</v>
      </c>
      <c r="G26" s="305">
        <f>район!D81</f>
        <v>-490.62220000000002</v>
      </c>
      <c r="H26" s="303"/>
      <c r="I26" s="305">
        <v>0</v>
      </c>
      <c r="J26" s="305">
        <v>0</v>
      </c>
      <c r="K26" s="305">
        <v>0</v>
      </c>
      <c r="L26" s="83"/>
    </row>
    <row r="27" spans="1:13" ht="29.25" customHeight="1">
      <c r="A27" s="76" t="s">
        <v>201</v>
      </c>
      <c r="B27" s="76"/>
      <c r="C27" s="467">
        <f>C24+C23+C26+C25</f>
        <v>777756.87323000003</v>
      </c>
      <c r="D27" s="467">
        <f>D24+D23+D26+D25</f>
        <v>697519.30481000012</v>
      </c>
      <c r="E27" s="311">
        <f t="shared" si="5"/>
        <v>89.683463922758307</v>
      </c>
      <c r="F27" s="311">
        <f>F24+F23</f>
        <v>756659.24963000009</v>
      </c>
      <c r="G27" s="311">
        <f>G24+G23</f>
        <v>678622.53323000018</v>
      </c>
      <c r="H27" s="311">
        <f t="shared" si="2"/>
        <v>89.686676474495059</v>
      </c>
      <c r="I27" s="311">
        <f>I24+I23</f>
        <v>108354.66758000001</v>
      </c>
      <c r="J27" s="311">
        <f>J24+J23</f>
        <v>94700.707219999997</v>
      </c>
      <c r="K27" s="310">
        <f t="shared" si="7"/>
        <v>87.398825851300714</v>
      </c>
      <c r="L27" s="95"/>
      <c r="M27" s="83"/>
    </row>
    <row r="28" spans="1:13" ht="29.25" customHeight="1">
      <c r="A28" s="76" t="s">
        <v>202</v>
      </c>
      <c r="B28" s="76"/>
      <c r="C28" s="467">
        <f>C29+C30+C31+C32+C33+C34+C35+C36+C37+C41+C38+C39+C40</f>
        <v>792949.61970000016</v>
      </c>
      <c r="D28" s="466">
        <f>SUM(D29:D41)</f>
        <v>686473.7977600001</v>
      </c>
      <c r="E28" s="311">
        <f t="shared" si="5"/>
        <v>86.5721832390457</v>
      </c>
      <c r="F28" s="311">
        <f>SUM(F29+F30+F31+F32+F33+F34+F35+F36+F37+F38+F39+F40+F41)</f>
        <v>766589.8796300001</v>
      </c>
      <c r="G28" s="311">
        <f>SUM(G29:G41)</f>
        <v>671351.0454099999</v>
      </c>
      <c r="H28" s="311">
        <f t="shared" si="2"/>
        <v>87.576299041937801</v>
      </c>
      <c r="I28" s="311">
        <f>I29+I30+I31+I32+I33+I34+I35+I36+I37+I38+I39+I40+I41</f>
        <v>113616.78405</v>
      </c>
      <c r="J28" s="311">
        <f>J29+J30+J31+J32+J33+J34+J35+J36+J37+J38+J39+J40+J41</f>
        <v>90946.555989999993</v>
      </c>
      <c r="K28" s="310">
        <f t="shared" si="7"/>
        <v>80.046761356998644</v>
      </c>
      <c r="L28" s="95"/>
    </row>
    <row r="29" spans="1:13" ht="30.75" customHeight="1">
      <c r="A29" s="81" t="s">
        <v>203</v>
      </c>
      <c r="B29" s="82" t="s">
        <v>30</v>
      </c>
      <c r="C29" s="312">
        <v>64817.669809999999</v>
      </c>
      <c r="D29" s="312">
        <v>53945.898009999997</v>
      </c>
      <c r="E29" s="313">
        <f t="shared" si="5"/>
        <v>83.227148041778705</v>
      </c>
      <c r="F29" s="304">
        <f>район!C88</f>
        <v>42163.195589999996</v>
      </c>
      <c r="G29" s="313">
        <f>район!D88</f>
        <v>35302.803569999996</v>
      </c>
      <c r="H29" s="314">
        <f t="shared" si="2"/>
        <v>83.728956204574061</v>
      </c>
      <c r="I29" s="314">
        <f>Справка!DJ31</f>
        <v>22654.474219999996</v>
      </c>
      <c r="J29" s="314">
        <f>Справка!DK31</f>
        <v>18643.094440000001</v>
      </c>
      <c r="K29" s="314">
        <f t="shared" si="7"/>
        <v>82.29321174684938</v>
      </c>
    </row>
    <row r="30" spans="1:13" ht="30.75" customHeight="1">
      <c r="A30" s="81" t="s">
        <v>204</v>
      </c>
      <c r="B30" s="82" t="s">
        <v>46</v>
      </c>
      <c r="C30" s="309">
        <f>I30</f>
        <v>2049</v>
      </c>
      <c r="D30" s="309">
        <f>J30</f>
        <v>1658.2053200000005</v>
      </c>
      <c r="E30" s="313">
        <f t="shared" si="5"/>
        <v>80.927541239629107</v>
      </c>
      <c r="F30" s="304">
        <f>район!C96</f>
        <v>2049</v>
      </c>
      <c r="G30" s="313">
        <f>район!D96</f>
        <v>2049</v>
      </c>
      <c r="H30" s="314">
        <f t="shared" si="2"/>
        <v>100</v>
      </c>
      <c r="I30" s="314">
        <f>Справка!DY31</f>
        <v>2049</v>
      </c>
      <c r="J30" s="314">
        <f>Справка!DZ31</f>
        <v>1658.2053200000005</v>
      </c>
      <c r="K30" s="314">
        <f t="shared" si="7"/>
        <v>80.927541239629107</v>
      </c>
    </row>
    <row r="31" spans="1:13" ht="33" customHeight="1">
      <c r="A31" s="81" t="s">
        <v>205</v>
      </c>
      <c r="B31" s="82" t="s">
        <v>50</v>
      </c>
      <c r="C31" s="312">
        <v>5095.82881</v>
      </c>
      <c r="D31" s="312">
        <v>4314.9823399999996</v>
      </c>
      <c r="E31" s="313">
        <f t="shared" si="5"/>
        <v>84.676752318137616</v>
      </c>
      <c r="F31" s="304">
        <f>район!C98</f>
        <v>4765.8330000000005</v>
      </c>
      <c r="G31" s="313">
        <f>район!D98</f>
        <v>4079.4438</v>
      </c>
      <c r="H31" s="314">
        <f t="shared" si="2"/>
        <v>85.597707683001062</v>
      </c>
      <c r="I31" s="314">
        <f>Справка!EB31</f>
        <v>379.32665000000003</v>
      </c>
      <c r="J31" s="314">
        <f>Справка!EC31</f>
        <v>284.86938000000004</v>
      </c>
      <c r="K31" s="314">
        <f t="shared" si="7"/>
        <v>75.098699234551546</v>
      </c>
    </row>
    <row r="32" spans="1:13" ht="30" customHeight="1">
      <c r="A32" s="81" t="s">
        <v>206</v>
      </c>
      <c r="B32" s="82" t="s">
        <v>58</v>
      </c>
      <c r="C32" s="312">
        <v>184451.66477999999</v>
      </c>
      <c r="D32" s="312">
        <v>165722.94037999999</v>
      </c>
      <c r="E32" s="313">
        <f t="shared" si="5"/>
        <v>89.846269795212635</v>
      </c>
      <c r="F32" s="304">
        <f>район!C104</f>
        <v>163752.19899999999</v>
      </c>
      <c r="G32" s="313">
        <f>район!D104</f>
        <v>151070.20478999999</v>
      </c>
      <c r="H32" s="314">
        <f t="shared" si="2"/>
        <v>92.255374714082464</v>
      </c>
      <c r="I32" s="314">
        <f>Справка!EE31</f>
        <v>36722.626779999999</v>
      </c>
      <c r="J32" s="314">
        <f>Справка!EF31</f>
        <v>27301.850819999992</v>
      </c>
      <c r="K32" s="314">
        <f t="shared" si="7"/>
        <v>74.346127208060224</v>
      </c>
    </row>
    <row r="33" spans="1:12" ht="30" customHeight="1">
      <c r="A33" s="81" t="s">
        <v>207</v>
      </c>
      <c r="B33" s="82" t="s">
        <v>68</v>
      </c>
      <c r="C33" s="312">
        <v>22127.150300000001</v>
      </c>
      <c r="D33" s="312">
        <v>16271.27046</v>
      </c>
      <c r="E33" s="313">
        <f t="shared" si="5"/>
        <v>73.535318553876323</v>
      </c>
      <c r="F33" s="304">
        <f>район!C109</f>
        <v>8536.5670599999994</v>
      </c>
      <c r="G33" s="313">
        <f>район!D109</f>
        <v>6219.5426500000003</v>
      </c>
      <c r="H33" s="314">
        <f t="shared" si="2"/>
        <v>72.857655850242935</v>
      </c>
      <c r="I33" s="314">
        <f>Справка!EH31</f>
        <v>19006.100300000006</v>
      </c>
      <c r="J33" s="314">
        <f>Справка!EI31</f>
        <v>15464.485910000001</v>
      </c>
      <c r="K33" s="314">
        <f t="shared" si="7"/>
        <v>81.365907081948833</v>
      </c>
    </row>
    <row r="34" spans="1:12" ht="30" customHeight="1">
      <c r="A34" s="81" t="s">
        <v>208</v>
      </c>
      <c r="B34" s="82" t="s">
        <v>76</v>
      </c>
      <c r="C34" s="309">
        <f>F34</f>
        <v>51</v>
      </c>
      <c r="D34" s="309">
        <f>G34</f>
        <v>51</v>
      </c>
      <c r="E34" s="313">
        <f t="shared" si="5"/>
        <v>100</v>
      </c>
      <c r="F34" s="304">
        <f>район!C113</f>
        <v>51</v>
      </c>
      <c r="G34" s="313">
        <f>район!D113</f>
        <v>51</v>
      </c>
      <c r="H34" s="314">
        <f t="shared" si="2"/>
        <v>100</v>
      </c>
      <c r="I34" s="313"/>
      <c r="J34" s="313"/>
      <c r="K34" s="314">
        <v>0</v>
      </c>
    </row>
    <row r="35" spans="1:12" ht="30" customHeight="1">
      <c r="A35" s="81" t="s">
        <v>209</v>
      </c>
      <c r="B35" s="82" t="s">
        <v>80</v>
      </c>
      <c r="C35" s="309">
        <f>F35</f>
        <v>421778.45872</v>
      </c>
      <c r="D35" s="309">
        <f>G35</f>
        <v>370294.91442000004</v>
      </c>
      <c r="E35" s="313">
        <f t="shared" si="5"/>
        <v>87.793699930470467</v>
      </c>
      <c r="F35" s="304">
        <f>район!C115</f>
        <v>421778.45872</v>
      </c>
      <c r="G35" s="313">
        <f>район!D115</f>
        <v>370294.91442000004</v>
      </c>
      <c r="H35" s="314">
        <f t="shared" si="2"/>
        <v>87.793699930470467</v>
      </c>
      <c r="I35" s="313"/>
      <c r="J35" s="313"/>
      <c r="K35" s="314">
        <v>0</v>
      </c>
    </row>
    <row r="36" spans="1:12" ht="30" customHeight="1">
      <c r="A36" s="81" t="s">
        <v>210</v>
      </c>
      <c r="B36" s="82" t="s">
        <v>86</v>
      </c>
      <c r="C36" s="312">
        <v>56496.023430000001</v>
      </c>
      <c r="D36" s="312">
        <v>47967.645259999998</v>
      </c>
      <c r="E36" s="313">
        <f t="shared" si="5"/>
        <v>84.904462912213859</v>
      </c>
      <c r="F36" s="304">
        <f>район!C121</f>
        <v>49786.725420000002</v>
      </c>
      <c r="G36" s="313">
        <f>район!D121</f>
        <v>43181.739169999993</v>
      </c>
      <c r="H36" s="314">
        <f t="shared" si="2"/>
        <v>86.733439095902668</v>
      </c>
      <c r="I36" s="314">
        <f>Справка!EK31</f>
        <v>32607.251099999998</v>
      </c>
      <c r="J36" s="314">
        <f>Справка!EL31</f>
        <v>27446.56612</v>
      </c>
      <c r="K36" s="314">
        <f t="shared" si="7"/>
        <v>84.17319827368091</v>
      </c>
      <c r="L36" s="83"/>
    </row>
    <row r="37" spans="1:12" ht="30" customHeight="1">
      <c r="A37" s="81" t="s">
        <v>211</v>
      </c>
      <c r="B37" s="82" t="s">
        <v>212</v>
      </c>
      <c r="C37" s="312">
        <f>F37+I37</f>
        <v>29791.25604</v>
      </c>
      <c r="D37" s="312">
        <f>G37+J37</f>
        <v>20471.633109999999</v>
      </c>
      <c r="E37" s="313">
        <f t="shared" si="5"/>
        <v>68.716918422349266</v>
      </c>
      <c r="F37" s="304">
        <f>район!C124</f>
        <v>29781.25604</v>
      </c>
      <c r="G37" s="313">
        <f>район!D124</f>
        <v>20461.633109999999</v>
      </c>
      <c r="H37" s="314">
        <f t="shared" si="2"/>
        <v>68.706414136856537</v>
      </c>
      <c r="I37" s="314">
        <f>Справка!EN31</f>
        <v>10</v>
      </c>
      <c r="J37" s="314">
        <f>Справка!EO31</f>
        <v>10</v>
      </c>
      <c r="K37" s="314"/>
    </row>
    <row r="38" spans="1:12" ht="30" customHeight="1">
      <c r="A38" s="81" t="s">
        <v>213</v>
      </c>
      <c r="B38" s="82" t="s">
        <v>95</v>
      </c>
      <c r="C38" s="312">
        <f>F38+I38</f>
        <v>6211.5678100000005</v>
      </c>
      <c r="D38" s="312">
        <f>G38+J38</f>
        <v>5772.218460000001</v>
      </c>
      <c r="E38" s="313">
        <f t="shared" si="5"/>
        <v>92.926916948524791</v>
      </c>
      <c r="F38" s="304">
        <f>район!C129</f>
        <v>6023.5628100000004</v>
      </c>
      <c r="G38" s="313">
        <f>район!D129</f>
        <v>5634.7344600000006</v>
      </c>
      <c r="H38" s="314">
        <f t="shared" si="2"/>
        <v>93.544877636961175</v>
      </c>
      <c r="I38" s="314">
        <f>Справка!EQ31</f>
        <v>188.005</v>
      </c>
      <c r="J38" s="314">
        <f>Справка!ER31</f>
        <v>137.48400000000001</v>
      </c>
      <c r="K38" s="314">
        <f t="shared" si="7"/>
        <v>73.1278423446185</v>
      </c>
    </row>
    <row r="39" spans="1:12" ht="30" customHeight="1">
      <c r="A39" s="81" t="s">
        <v>214</v>
      </c>
      <c r="B39" s="82" t="s">
        <v>107</v>
      </c>
      <c r="C39" s="304">
        <f>F39</f>
        <v>80</v>
      </c>
      <c r="D39" s="315">
        <f>G39</f>
        <v>3.09</v>
      </c>
      <c r="E39" s="313">
        <f t="shared" si="5"/>
        <v>3.8624999999999998</v>
      </c>
      <c r="F39" s="304">
        <f>район!C135</f>
        <v>80</v>
      </c>
      <c r="G39" s="313">
        <f>район!D135</f>
        <v>3.09</v>
      </c>
      <c r="H39" s="314">
        <f t="shared" si="2"/>
        <v>3.8624999999999998</v>
      </c>
      <c r="I39" s="314"/>
      <c r="J39" s="314"/>
      <c r="K39" s="314">
        <v>0</v>
      </c>
    </row>
    <row r="40" spans="1:12" ht="34.5" customHeight="1">
      <c r="A40" s="81" t="s">
        <v>215</v>
      </c>
      <c r="B40" s="82" t="s">
        <v>111</v>
      </c>
      <c r="C40" s="304">
        <f>F40</f>
        <v>0</v>
      </c>
      <c r="D40" s="315">
        <f>G40</f>
        <v>0</v>
      </c>
      <c r="E40" s="313"/>
      <c r="F40" s="304">
        <f>район!C137</f>
        <v>0</v>
      </c>
      <c r="G40" s="313">
        <f>район!D137</f>
        <v>0</v>
      </c>
      <c r="H40" s="314">
        <v>0</v>
      </c>
      <c r="I40" s="314"/>
      <c r="J40" s="316"/>
      <c r="K40" s="314">
        <v>0</v>
      </c>
    </row>
    <row r="41" spans="1:12" ht="30" customHeight="1">
      <c r="A41" s="81" t="s">
        <v>216</v>
      </c>
      <c r="B41" s="82" t="s">
        <v>217</v>
      </c>
      <c r="C41" s="304">
        <v>0</v>
      </c>
      <c r="D41" s="315"/>
      <c r="E41" s="313">
        <v>0</v>
      </c>
      <c r="F41" s="304">
        <f>район!C139</f>
        <v>37822.081989999999</v>
      </c>
      <c r="G41" s="313">
        <f>район!D139</f>
        <v>33002.939440000002</v>
      </c>
      <c r="H41" s="314">
        <f t="shared" si="2"/>
        <v>87.258389024501199</v>
      </c>
      <c r="I41" s="314">
        <f>Справка!ET31</f>
        <v>0</v>
      </c>
      <c r="J41" s="316">
        <f>Справка!EU31</f>
        <v>0</v>
      </c>
      <c r="K41" s="314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-15192.746470000129</v>
      </c>
      <c r="D43" s="139">
        <f>D27-D28</f>
        <v>11045.507050000015</v>
      </c>
      <c r="E43" s="139"/>
      <c r="F43" s="139">
        <f>F27-F28</f>
        <v>-9930.6300000000047</v>
      </c>
      <c r="G43" s="139">
        <f>G27-G28</f>
        <v>7271.4878200002713</v>
      </c>
      <c r="H43" s="139"/>
      <c r="I43" s="139">
        <f>I27-I28</f>
        <v>-5262.1164699999936</v>
      </c>
      <c r="J43" s="139">
        <f>J27-J28</f>
        <v>3754.1512300000031</v>
      </c>
      <c r="K43" s="139"/>
    </row>
    <row r="44" spans="1:12" hidden="1">
      <c r="A44" s="140"/>
      <c r="B44" s="141"/>
      <c r="C44" s="139">
        <f>C43-F44</f>
        <v>-1.3096723705530167E-10</v>
      </c>
      <c r="D44" s="139">
        <f>D43-G44</f>
        <v>19.867999999740277</v>
      </c>
      <c r="E44" s="139"/>
      <c r="F44" s="139">
        <f>F43+I43</f>
        <v>-15192.746469999998</v>
      </c>
      <c r="G44" s="139">
        <f>G43+J43</f>
        <v>11025.639050000274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582650.81363000011</v>
      </c>
      <c r="G45" s="143">
        <f>D28+G44-D23-D26</f>
        <v>527489.15296000033</v>
      </c>
      <c r="H45" s="137"/>
      <c r="I45" s="137"/>
      <c r="J45" s="137"/>
      <c r="K45" s="139"/>
    </row>
    <row r="46" spans="1:12">
      <c r="A46" s="140"/>
      <c r="B46" s="141"/>
      <c r="C46" s="324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71"/>
      <c r="E50" s="471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AEB392BF-DA26-444D-A19F-E51C57137A4D}" hiddenRows="1">
      <selection sqref="A1:K1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2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5BFCA170-DEAE-4D2C-98A0-1E68B427AC01}" showPageBreaks="1" printArea="1" hiddenRows="1">
      <selection sqref="A1:K1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8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topLeftCell="A43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427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2171.72757</v>
      </c>
      <c r="E4" s="5">
        <f>SUM(D4/C4*100)</f>
        <v>86.350996819085495</v>
      </c>
      <c r="F4" s="5">
        <f>SUM(D4-C4)</f>
        <v>-343.27242999999999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205.84043</v>
      </c>
      <c r="E5" s="5">
        <f t="shared" ref="E5:E51" si="0">SUM(D5/C5*100)</f>
        <v>78.475192527640104</v>
      </c>
      <c r="F5" s="5">
        <f t="shared" ref="F5:F51" si="1">SUM(D5-C5)</f>
        <v>-56.459570000000014</v>
      </c>
    </row>
    <row r="6" spans="1:6">
      <c r="A6" s="7">
        <v>1010200001</v>
      </c>
      <c r="B6" s="8" t="s">
        <v>229</v>
      </c>
      <c r="C6" s="9">
        <v>262.3</v>
      </c>
      <c r="D6" s="10">
        <v>205.84043</v>
      </c>
      <c r="E6" s="9">
        <f t="shared" ref="E6:E11" si="2">SUM(D6/C6*100)</f>
        <v>78.475192527640104</v>
      </c>
      <c r="F6" s="9">
        <f t="shared" si="1"/>
        <v>-56.459570000000014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409.26199000000008</v>
      </c>
      <c r="E7" s="9">
        <f t="shared" si="2"/>
        <v>96.820910811450219</v>
      </c>
      <c r="F7" s="9">
        <f t="shared" si="1"/>
        <v>-13.438009999999906</v>
      </c>
    </row>
    <row r="8" spans="1:6">
      <c r="A8" s="7">
        <v>1030223001</v>
      </c>
      <c r="B8" s="8" t="s">
        <v>283</v>
      </c>
      <c r="C8" s="9">
        <v>157.66999999999999</v>
      </c>
      <c r="D8" s="10">
        <v>181.93608</v>
      </c>
      <c r="E8" s="9">
        <f t="shared" si="2"/>
        <v>115.39042303545382</v>
      </c>
      <c r="F8" s="9">
        <f t="shared" si="1"/>
        <v>24.266080000000017</v>
      </c>
    </row>
    <row r="9" spans="1:6">
      <c r="A9" s="7">
        <v>1030224001</v>
      </c>
      <c r="B9" s="8" t="s">
        <v>289</v>
      </c>
      <c r="C9" s="9">
        <v>1.7</v>
      </c>
      <c r="D9" s="10">
        <v>1.7269300000000001</v>
      </c>
      <c r="E9" s="9">
        <f t="shared" si="2"/>
        <v>101.58411764705883</v>
      </c>
      <c r="F9" s="9">
        <f t="shared" si="1"/>
        <v>2.6930000000000121E-2</v>
      </c>
    </row>
    <row r="10" spans="1:6">
      <c r="A10" s="7">
        <v>1030225001</v>
      </c>
      <c r="B10" s="8" t="s">
        <v>282</v>
      </c>
      <c r="C10" s="9">
        <v>263.33</v>
      </c>
      <c r="D10" s="10">
        <v>266.18900000000002</v>
      </c>
      <c r="E10" s="9">
        <f t="shared" si="2"/>
        <v>101.08570994569553</v>
      </c>
      <c r="F10" s="9">
        <f t="shared" si="1"/>
        <v>2.8590000000000373</v>
      </c>
    </row>
    <row r="11" spans="1:6">
      <c r="A11" s="7">
        <v>1030265001</v>
      </c>
      <c r="B11" s="8" t="s">
        <v>291</v>
      </c>
      <c r="C11" s="9">
        <v>0</v>
      </c>
      <c r="D11" s="10">
        <v>-40.590020000000003</v>
      </c>
      <c r="E11" s="9" t="e">
        <f t="shared" si="2"/>
        <v>#DIV/0!</v>
      </c>
      <c r="F11" s="9">
        <f t="shared" si="1"/>
        <v>-40.590020000000003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1513.62411</v>
      </c>
      <c r="E14" s="5">
        <f t="shared" si="0"/>
        <v>85.035062359550565</v>
      </c>
      <c r="F14" s="5">
        <f t="shared" si="1"/>
        <v>-266.37589000000003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241.38332</v>
      </c>
      <c r="E15" s="9">
        <f t="shared" si="0"/>
        <v>150.864575</v>
      </c>
      <c r="F15" s="9">
        <f>SUM(D15-C15)</f>
        <v>81.383319999999998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1272.2407900000001</v>
      </c>
      <c r="E16" s="9">
        <f t="shared" si="0"/>
        <v>78.533382098765429</v>
      </c>
      <c r="F16" s="9">
        <f t="shared" si="1"/>
        <v>-347.75920999999994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7.2850000000000001</v>
      </c>
      <c r="E17" s="5">
        <f t="shared" si="0"/>
        <v>72.850000000000009</v>
      </c>
      <c r="F17" s="5">
        <f t="shared" si="1"/>
        <v>-2.7149999999999999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7.2850000000000001</v>
      </c>
      <c r="E18" s="9">
        <f t="shared" si="0"/>
        <v>72.850000000000009</v>
      </c>
      <c r="F18" s="9">
        <f t="shared" si="1"/>
        <v>-2.7149999999999999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107.21612999999999</v>
      </c>
      <c r="E25" s="5">
        <f t="shared" si="0"/>
        <v>57.242995194874524</v>
      </c>
      <c r="F25" s="5">
        <f t="shared" si="1"/>
        <v>-80.083870000000019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88.291519999999991</v>
      </c>
      <c r="E26" s="5">
        <f t="shared" si="0"/>
        <v>64.305549890750171</v>
      </c>
      <c r="F26" s="5">
        <f t="shared" si="1"/>
        <v>-49.00848000000002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38.791519999999998</v>
      </c>
      <c r="E27" s="9">
        <f t="shared" si="0"/>
        <v>36.152395153774464</v>
      </c>
      <c r="F27" s="9">
        <f t="shared" si="1"/>
        <v>-68.508479999999992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49.5</v>
      </c>
      <c r="E28" s="9">
        <f t="shared" si="0"/>
        <v>165</v>
      </c>
      <c r="F28" s="9">
        <f t="shared" si="1"/>
        <v>19.5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2.26797</v>
      </c>
      <c r="E29" s="5">
        <f t="shared" si="0"/>
        <v>4.5359400000000001</v>
      </c>
      <c r="F29" s="5">
        <f t="shared" si="1"/>
        <v>-47.732030000000002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2.26797</v>
      </c>
      <c r="E30" s="9">
        <f t="shared" si="0"/>
        <v>4.5359400000000001</v>
      </c>
      <c r="F30" s="9">
        <f t="shared" si="1"/>
        <v>-47.732030000000002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16.656639999999999</v>
      </c>
      <c r="E36" s="5" t="e">
        <f t="shared" si="0"/>
        <v>#DIV/0!</v>
      </c>
      <c r="F36" s="5">
        <f t="shared" si="1"/>
        <v>16.656639999999999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16.656639999999999</v>
      </c>
      <c r="E37" s="9" t="e">
        <f t="shared" si="0"/>
        <v>#DIV/0!</v>
      </c>
      <c r="F37" s="9">
        <f t="shared" si="1"/>
        <v>16.656639999999999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2278.9436999999998</v>
      </c>
      <c r="E39" s="5">
        <f t="shared" si="0"/>
        <v>84.333482588905738</v>
      </c>
      <c r="F39" s="5">
        <f t="shared" si="1"/>
        <v>-423.35630000000037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3310.4779999999996</v>
      </c>
      <c r="D40" s="5">
        <f>D41+D43+D45+D46+D48+D49+D42+D47</f>
        <v>3091.9123499999996</v>
      </c>
      <c r="E40" s="5">
        <f t="shared" si="0"/>
        <v>93.397761592132611</v>
      </c>
      <c r="F40" s="5">
        <f t="shared" si="1"/>
        <v>-218.56565000000001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1279.2349999999999</v>
      </c>
      <c r="E41" s="9">
        <f t="shared" si="0"/>
        <v>94.216993652753004</v>
      </c>
      <c r="F41" s="9">
        <f t="shared" si="1"/>
        <v>-78.519000000000005</v>
      </c>
    </row>
    <row r="42" spans="1:7" ht="17.25" customHeight="1">
      <c r="A42" s="16">
        <v>2021500200</v>
      </c>
      <c r="B42" s="17" t="s">
        <v>232</v>
      </c>
      <c r="C42" s="12">
        <v>420</v>
      </c>
      <c r="D42" s="20">
        <v>420</v>
      </c>
      <c r="E42" s="9">
        <f>SUM(D42/C42*100)</f>
        <v>100</v>
      </c>
      <c r="F42" s="9">
        <f>SUM(D42-C42)</f>
        <v>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175.78800000000001</v>
      </c>
      <c r="D45" s="251">
        <v>170.749</v>
      </c>
      <c r="E45" s="9">
        <f t="shared" si="0"/>
        <v>97.133478963296696</v>
      </c>
      <c r="F45" s="9">
        <f t="shared" si="1"/>
        <v>-5.0390000000000157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2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403">
        <f>C39+C40</f>
        <v>6012.7780000000002</v>
      </c>
      <c r="D51" s="404">
        <f>D39+D40</f>
        <v>5370.8560499999994</v>
      </c>
      <c r="E51" s="5">
        <f t="shared" si="0"/>
        <v>89.32403707570775</v>
      </c>
      <c r="F51" s="5">
        <f t="shared" si="1"/>
        <v>-641.92195000000083</v>
      </c>
      <c r="G51" s="293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224.55728999999974</v>
      </c>
      <c r="E52" s="22"/>
      <c r="F52" s="22"/>
    </row>
    <row r="53" spans="1:7" ht="23.25" customHeight="1">
      <c r="A53" s="23"/>
      <c r="B53" s="24"/>
      <c r="C53" s="242"/>
      <c r="D53" s="242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417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1330.0975000000001</v>
      </c>
      <c r="D56" s="33">
        <f>D57+D58+D59+D60+D61+D63+D62</f>
        <v>1072.3603700000001</v>
      </c>
      <c r="E56" s="34">
        <f>SUM(D56/C56*100)</f>
        <v>80.622688938216939</v>
      </c>
      <c r="F56" s="34">
        <f>SUM(D56-C56)</f>
        <v>-257.73712999999998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1060.41687</v>
      </c>
      <c r="E58" s="38">
        <f t="shared" ref="E58:E98" si="3">SUM(D58/C58*100)</f>
        <v>80.753428006159226</v>
      </c>
      <c r="F58" s="38">
        <f t="shared" ref="F58:F98" si="4">SUM(D58-C58)</f>
        <v>-252.73712999999998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11.9435</v>
      </c>
      <c r="D63" s="37">
        <v>11.9435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130.82066</v>
      </c>
      <c r="E64" s="34">
        <f t="shared" si="3"/>
        <v>76.615769345647706</v>
      </c>
      <c r="F64" s="34">
        <f t="shared" si="4"/>
        <v>-39.928339999999992</v>
      </c>
    </row>
    <row r="65" spans="1:7">
      <c r="A65" s="43" t="s">
        <v>48</v>
      </c>
      <c r="B65" s="44" t="s">
        <v>49</v>
      </c>
      <c r="C65" s="37">
        <v>170.749</v>
      </c>
      <c r="D65" s="37">
        <v>130.82066</v>
      </c>
      <c r="E65" s="38">
        <f t="shared" si="3"/>
        <v>76.615769345647706</v>
      </c>
      <c r="F65" s="38">
        <f t="shared" si="4"/>
        <v>-39.928339999999992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9.4405000000000001</v>
      </c>
      <c r="D66" s="32">
        <f>D70+D69+D68+D67</f>
        <v>9.4396599999999999</v>
      </c>
      <c r="E66" s="34">
        <f t="shared" si="3"/>
        <v>99.991102166198814</v>
      </c>
      <c r="F66" s="34">
        <f t="shared" si="4"/>
        <v>-8.4000000000017394E-4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2.7905000000000002</v>
      </c>
      <c r="D69" s="37">
        <v>2.78966</v>
      </c>
      <c r="E69" s="38">
        <f t="shared" si="3"/>
        <v>99.969897867765624</v>
      </c>
      <c r="F69" s="38">
        <f t="shared" si="4"/>
        <v>-8.4000000000017394E-4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6.65</v>
      </c>
      <c r="E70" s="38">
        <f>SUM(D70/C70*100)</f>
        <v>100</v>
      </c>
      <c r="F70" s="38">
        <f>SUM(D70-C70)</f>
        <v>0</v>
      </c>
    </row>
    <row r="71" spans="1:7" s="6" customFormat="1">
      <c r="A71" s="30" t="s">
        <v>58</v>
      </c>
      <c r="B71" s="31" t="s">
        <v>59</v>
      </c>
      <c r="C71" s="48">
        <f>SUM(C72:C75)</f>
        <v>2173.4105099999997</v>
      </c>
      <c r="D71" s="48">
        <f>SUM(D72:D75)</f>
        <v>1894.2783399999998</v>
      </c>
      <c r="E71" s="34">
        <f t="shared" si="3"/>
        <v>87.156951311512714</v>
      </c>
      <c r="F71" s="34">
        <f t="shared" si="4"/>
        <v>-279.13216999999986</v>
      </c>
    </row>
    <row r="72" spans="1:7" ht="17.25" customHeight="1">
      <c r="A72" s="35" t="s">
        <v>60</v>
      </c>
      <c r="B72" s="39" t="s">
        <v>61</v>
      </c>
      <c r="C72" s="49">
        <v>11.25</v>
      </c>
      <c r="D72" s="37">
        <v>2.0699999999999998</v>
      </c>
      <c r="E72" s="38">
        <f t="shared" si="3"/>
        <v>18.399999999999999</v>
      </c>
      <c r="F72" s="38">
        <f t="shared" si="4"/>
        <v>-9.18</v>
      </c>
    </row>
    <row r="73" spans="1:7" s="6" customFormat="1" ht="17.25" customHeight="1">
      <c r="A73" s="35" t="s">
        <v>62</v>
      </c>
      <c r="B73" s="39" t="s">
        <v>63</v>
      </c>
      <c r="C73" s="49">
        <v>152.941</v>
      </c>
      <c r="D73" s="37">
        <v>102.07704</v>
      </c>
      <c r="E73" s="38">
        <f t="shared" si="3"/>
        <v>66.742757010873461</v>
      </c>
      <c r="F73" s="38">
        <f t="shared" si="4"/>
        <v>-50.863960000000006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1610.2813799999999</v>
      </c>
      <c r="E74" s="38">
        <f t="shared" si="3"/>
        <v>88.031063040651688</v>
      </c>
      <c r="F74" s="38">
        <f t="shared" si="4"/>
        <v>-218.93813</v>
      </c>
    </row>
    <row r="75" spans="1:7">
      <c r="A75" s="35" t="s">
        <v>66</v>
      </c>
      <c r="B75" s="39" t="s">
        <v>67</v>
      </c>
      <c r="C75" s="49">
        <v>180</v>
      </c>
      <c r="D75" s="37">
        <v>179.84992</v>
      </c>
      <c r="E75" s="38">
        <f t="shared" si="3"/>
        <v>99.916622222222216</v>
      </c>
      <c r="F75" s="38">
        <f t="shared" si="4"/>
        <v>-0.15008000000000266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908.81399999999996</v>
      </c>
      <c r="D76" s="32">
        <f>SUM(D77:D80)</f>
        <v>808.48572999999999</v>
      </c>
      <c r="E76" s="34">
        <f t="shared" si="3"/>
        <v>88.960527676730337</v>
      </c>
      <c r="F76" s="34">
        <f t="shared" si="4"/>
        <v>-100.32826999999997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908.81399999999996</v>
      </c>
      <c r="D79" s="37">
        <v>808.48572999999999</v>
      </c>
      <c r="E79" s="38">
        <f t="shared" si="3"/>
        <v>88.960527676730337</v>
      </c>
      <c r="F79" s="38">
        <f t="shared" si="4"/>
        <v>-100.32826999999997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1530</v>
      </c>
      <c r="D81" s="32">
        <f>SUM(D82)</f>
        <v>1228.914</v>
      </c>
      <c r="E81" s="34">
        <f t="shared" si="3"/>
        <v>80.321176470588227</v>
      </c>
      <c r="F81" s="34">
        <f t="shared" si="4"/>
        <v>-301.08600000000001</v>
      </c>
    </row>
    <row r="82" spans="1:6" ht="16.5" hidden="1" customHeight="1">
      <c r="A82" s="35" t="s">
        <v>88</v>
      </c>
      <c r="B82" s="39" t="s">
        <v>234</v>
      </c>
      <c r="C82" s="37">
        <v>1530</v>
      </c>
      <c r="D82" s="37">
        <v>1228.914</v>
      </c>
      <c r="E82" s="38">
        <f t="shared" si="3"/>
        <v>80.321176470588227</v>
      </c>
      <c r="F82" s="38">
        <f t="shared" si="4"/>
        <v>-301.08600000000001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2</v>
      </c>
      <c r="E88" s="38">
        <f t="shared" si="3"/>
        <v>100</v>
      </c>
      <c r="F88" s="22">
        <f>F89+F90+F91+F92+F93</f>
        <v>0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2</v>
      </c>
      <c r="E89" s="38">
        <f t="shared" si="3"/>
        <v>100</v>
      </c>
      <c r="F89" s="38">
        <f>SUM(D89-C89)</f>
        <v>0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93">
        <f>C56+C64+C66+C71+C76+C81+C83+C88+C94</f>
        <v>6124.5115100000003</v>
      </c>
      <c r="D98" s="393">
        <f>D56+D64+D66+D71+D76+D81+D83+D88+D94</f>
        <v>5146.2987599999997</v>
      </c>
      <c r="E98" s="34">
        <f t="shared" si="3"/>
        <v>84.027905761907846</v>
      </c>
      <c r="F98" s="34">
        <f t="shared" si="4"/>
        <v>-978.2127500000006</v>
      </c>
    </row>
    <row r="99" spans="1:6" ht="20.25" customHeight="1">
      <c r="C99" s="344"/>
      <c r="D99" s="345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AEB392BF-DA26-444D-A19F-E51C57137A4D}" hiddenRows="1" topLeftCell="A43">
      <selection activeCell="B100" sqref="B100"/>
      <pageMargins left="0.7" right="0.7" top="0.75" bottom="0.75" header="0.3" footer="0.3"/>
      <pageSetup paperSize="9" scale="57" orientation="portrait" r:id="rId1"/>
    </customSheetView>
    <customSheetView guid="{B30CE22D-C12F-4E12-8BB9-3AAE0A6991CC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3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5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8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topLeftCell="A10" zoomScaleNormal="100" zoomScaleSheetLayoutView="70" workbookViewId="0">
      <selection activeCell="C35" sqref="C35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428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1633.72837</v>
      </c>
      <c r="E4" s="5">
        <f>SUM(D4/C4*100)</f>
        <v>93.946427257044292</v>
      </c>
      <c r="F4" s="5">
        <f>SUM(D4-C4)</f>
        <v>-105.27162999999996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113.69768999999999</v>
      </c>
      <c r="E5" s="5">
        <f t="shared" ref="E5:E51" si="0">SUM(D5/C5*100)</f>
        <v>105.17825161887143</v>
      </c>
      <c r="F5" s="5">
        <f t="shared" ref="F5:F51" si="1">SUM(D5-C5)</f>
        <v>5.5976900000000001</v>
      </c>
    </row>
    <row r="6" spans="1:6">
      <c r="A6" s="7">
        <v>1010200001</v>
      </c>
      <c r="B6" s="8" t="s">
        <v>229</v>
      </c>
      <c r="C6" s="9">
        <v>108.1</v>
      </c>
      <c r="D6" s="10">
        <v>113.69768999999999</v>
      </c>
      <c r="E6" s="9">
        <f t="shared" ref="E6:E11" si="2">SUM(D6/C6*100)</f>
        <v>105.17825161887143</v>
      </c>
      <c r="F6" s="9">
        <f t="shared" si="1"/>
        <v>5.5976900000000001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504.34301000000005</v>
      </c>
      <c r="E7" s="9">
        <f t="shared" si="2"/>
        <v>96.821464772509131</v>
      </c>
      <c r="F7" s="9">
        <f t="shared" si="1"/>
        <v>-16.556989999999928</v>
      </c>
    </row>
    <row r="8" spans="1:6">
      <c r="A8" s="7">
        <v>1030223001</v>
      </c>
      <c r="B8" s="8" t="s">
        <v>283</v>
      </c>
      <c r="C8" s="9">
        <v>194.3</v>
      </c>
      <c r="D8" s="10">
        <v>224.20406</v>
      </c>
      <c r="E8" s="9">
        <f t="shared" si="2"/>
        <v>115.39066392177044</v>
      </c>
      <c r="F8" s="9">
        <f t="shared" si="1"/>
        <v>29.904059999999987</v>
      </c>
    </row>
    <row r="9" spans="1:6">
      <c r="A9" s="7">
        <v>1030224001</v>
      </c>
      <c r="B9" s="8" t="s">
        <v>289</v>
      </c>
      <c r="C9" s="9">
        <v>2.1</v>
      </c>
      <c r="D9" s="10">
        <v>2.1281300000000001</v>
      </c>
      <c r="E9" s="9">
        <f t="shared" si="2"/>
        <v>101.3395238095238</v>
      </c>
      <c r="F9" s="9">
        <f t="shared" si="1"/>
        <v>2.8129999999999988E-2</v>
      </c>
    </row>
    <row r="10" spans="1:6">
      <c r="A10" s="7">
        <v>1030225001</v>
      </c>
      <c r="B10" s="8" t="s">
        <v>282</v>
      </c>
      <c r="C10" s="9">
        <v>324.5</v>
      </c>
      <c r="D10" s="10">
        <v>328.03086999999999</v>
      </c>
      <c r="E10" s="9">
        <f t="shared" si="2"/>
        <v>101.08809553158706</v>
      </c>
      <c r="F10" s="9">
        <f t="shared" si="1"/>
        <v>3.5308699999999931</v>
      </c>
    </row>
    <row r="11" spans="1:6">
      <c r="A11" s="7">
        <v>1030226001</v>
      </c>
      <c r="B11" s="8" t="s">
        <v>291</v>
      </c>
      <c r="C11" s="9">
        <v>0</v>
      </c>
      <c r="D11" s="10">
        <v>-50.020049999999998</v>
      </c>
      <c r="E11" s="9" t="e">
        <f t="shared" si="2"/>
        <v>#DIV/0!</v>
      </c>
      <c r="F11" s="9">
        <f t="shared" si="1"/>
        <v>-50.020049999999998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968.96023000000002</v>
      </c>
      <c r="E14" s="5">
        <f t="shared" si="0"/>
        <v>91.411342452830198</v>
      </c>
      <c r="F14" s="5">
        <f t="shared" si="1"/>
        <v>-91.039769999999976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114.53677</v>
      </c>
      <c r="E15" s="9">
        <f t="shared" si="0"/>
        <v>88.105207692307701</v>
      </c>
      <c r="F15" s="9">
        <f>SUM(D15-C15)</f>
        <v>-15.463229999999996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854.42345999999998</v>
      </c>
      <c r="E16" s="9">
        <f t="shared" si="0"/>
        <v>91.873490322580636</v>
      </c>
      <c r="F16" s="9">
        <f t="shared" si="1"/>
        <v>-75.576540000000023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3.7250000000000001</v>
      </c>
      <c r="E17" s="5">
        <f t="shared" si="0"/>
        <v>37.25</v>
      </c>
      <c r="F17" s="5">
        <f t="shared" si="1"/>
        <v>-6.2750000000000004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3.7250000000000001</v>
      </c>
      <c r="E18" s="9">
        <f t="shared" si="0"/>
        <v>37.25</v>
      </c>
      <c r="F18" s="9">
        <f t="shared" si="1"/>
        <v>-6.2750000000000004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169.9539</v>
      </c>
      <c r="D25" s="5">
        <f>D26+D29+D31+D36+D34</f>
        <v>85.42362</v>
      </c>
      <c r="E25" s="5">
        <f t="shared" si="0"/>
        <v>50.262818328970383</v>
      </c>
      <c r="F25" s="5">
        <f t="shared" si="1"/>
        <v>-84.530280000000005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177.36928</v>
      </c>
      <c r="E26" s="5">
        <f t="shared" si="0"/>
        <v>106.84896385542169</v>
      </c>
      <c r="F26" s="5">
        <f t="shared" si="1"/>
        <v>11.369280000000003</v>
      </c>
    </row>
    <row r="27" spans="1:6">
      <c r="A27" s="16">
        <v>1110502510</v>
      </c>
      <c r="B27" s="17" t="s">
        <v>226</v>
      </c>
      <c r="C27" s="12">
        <v>160</v>
      </c>
      <c r="D27" s="10">
        <v>171.16</v>
      </c>
      <c r="E27" s="9">
        <f t="shared" si="0"/>
        <v>106.97499999999999</v>
      </c>
      <c r="F27" s="9">
        <f t="shared" si="1"/>
        <v>11.159999999999997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6.2092799999999997</v>
      </c>
      <c r="E28" s="9">
        <f t="shared" si="0"/>
        <v>103.488</v>
      </c>
      <c r="F28" s="9">
        <f t="shared" si="1"/>
        <v>0.20927999999999969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3.0543399999999998</v>
      </c>
      <c r="E29" s="5" t="e">
        <f t="shared" si="0"/>
        <v>#DIV/0!</v>
      </c>
      <c r="F29" s="5">
        <f t="shared" si="1"/>
        <v>3.0543399999999998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3.0543399999999998</v>
      </c>
      <c r="E30" s="9" t="e">
        <f t="shared" si="0"/>
        <v>#DIV/0!</v>
      </c>
      <c r="F30" s="9">
        <f t="shared" si="1"/>
        <v>3.0543399999999998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3.9539</v>
      </c>
      <c r="D34" s="5">
        <v>0</v>
      </c>
      <c r="E34" s="9">
        <f>SUM(D34/C34*100)</f>
        <v>0</v>
      </c>
      <c r="F34" s="9">
        <f>SUM(D34-C34)</f>
        <v>-3.9539</v>
      </c>
    </row>
    <row r="35" spans="1:7" ht="29.25" customHeight="1">
      <c r="A35" s="7">
        <v>1163305010</v>
      </c>
      <c r="B35" s="8" t="s">
        <v>268</v>
      </c>
      <c r="C35" s="9">
        <v>3.9539</v>
      </c>
      <c r="D35" s="10">
        <v>0</v>
      </c>
      <c r="E35" s="9">
        <f>SUM(D35/C35*100)</f>
        <v>0</v>
      </c>
      <c r="F35" s="9">
        <f>SUM(D35-C35)</f>
        <v>-3.9539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1908.9539</v>
      </c>
      <c r="D39" s="127">
        <f>SUM(D4,D25)</f>
        <v>1719.1519900000001</v>
      </c>
      <c r="E39" s="5">
        <f t="shared" si="0"/>
        <v>90.057281634721505</v>
      </c>
      <c r="F39" s="5">
        <f t="shared" si="1"/>
        <v>-189.80190999999991</v>
      </c>
    </row>
    <row r="40" spans="1:7" s="6" customFormat="1">
      <c r="A40" s="3">
        <v>2000000000</v>
      </c>
      <c r="B40" s="4" t="s">
        <v>20</v>
      </c>
      <c r="C40" s="343">
        <f>C41+C42+C43+C44+C48+C49</f>
        <v>4547.6226599999991</v>
      </c>
      <c r="D40" s="343">
        <f>D41+D42+D43+D44+D48+D49+D50</f>
        <v>3830.1943299999998</v>
      </c>
      <c r="E40" s="5">
        <f t="shared" si="0"/>
        <v>84.22410161004872</v>
      </c>
      <c r="F40" s="5">
        <f t="shared" si="1"/>
        <v>-717.42832999999928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2576.3670000000002</v>
      </c>
      <c r="E41" s="9">
        <f t="shared" si="0"/>
        <v>93.048134715662158</v>
      </c>
      <c r="F41" s="9">
        <f t="shared" si="1"/>
        <v>-192.48699999999963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1314.29766</v>
      </c>
      <c r="D43" s="10">
        <v>901.31866000000002</v>
      </c>
      <c r="E43" s="9">
        <f t="shared" si="0"/>
        <v>68.577970381534428</v>
      </c>
      <c r="F43" s="9">
        <f t="shared" si="1"/>
        <v>-412.97899999999993</v>
      </c>
    </row>
    <row r="44" spans="1:7" ht="18" customHeight="1">
      <c r="A44" s="16">
        <v>2023000000</v>
      </c>
      <c r="B44" s="17" t="s">
        <v>23</v>
      </c>
      <c r="C44" s="12">
        <v>177.46700000000001</v>
      </c>
      <c r="D44" s="251">
        <v>171.7861</v>
      </c>
      <c r="E44" s="9">
        <f t="shared" si="0"/>
        <v>96.798897823257278</v>
      </c>
      <c r="F44" s="9">
        <f t="shared" si="1"/>
        <v>-5.6809000000000083</v>
      </c>
    </row>
    <row r="45" spans="1:7" ht="0.75" hidden="1" customHeight="1">
      <c r="A45" s="16">
        <v>2020400000</v>
      </c>
      <c r="B45" s="17" t="s">
        <v>24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-106.282</v>
      </c>
      <c r="E50" s="9"/>
      <c r="F50" s="9"/>
    </row>
    <row r="51" spans="1:7" s="6" customFormat="1" ht="19.5" customHeight="1">
      <c r="A51" s="3"/>
      <c r="B51" s="4" t="s">
        <v>28</v>
      </c>
      <c r="C51" s="389">
        <f>C39+C40</f>
        <v>6456.5765599999995</v>
      </c>
      <c r="D51" s="389">
        <f>SUM(D39,D40,)</f>
        <v>5549.3463199999997</v>
      </c>
      <c r="E51" s="5">
        <f t="shared" si="0"/>
        <v>85.948741851517667</v>
      </c>
      <c r="F51" s="5">
        <f t="shared" si="1"/>
        <v>-907.23023999999987</v>
      </c>
      <c r="G51" s="293"/>
    </row>
    <row r="52" spans="1:7" s="6" customFormat="1">
      <c r="A52" s="3"/>
      <c r="B52" s="21" t="s">
        <v>321</v>
      </c>
      <c r="C52" s="389">
        <f>C51-C97</f>
        <v>-449.50602000000072</v>
      </c>
      <c r="D52" s="389">
        <f>D51-D97</f>
        <v>77.007610000000568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60" customHeight="1">
      <c r="A54" s="28" t="s">
        <v>1</v>
      </c>
      <c r="B54" s="28" t="s">
        <v>29</v>
      </c>
      <c r="C54" s="243" t="s">
        <v>346</v>
      </c>
      <c r="D54" s="244" t="s">
        <v>417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1470.8029999999999</v>
      </c>
      <c r="D56" s="246">
        <f>D57+D58+D59+D60+D61+D63+D62</f>
        <v>1201.9613199999999</v>
      </c>
      <c r="E56" s="34">
        <f>SUM(D56/C56*100)</f>
        <v>81.721435161609008</v>
      </c>
      <c r="F56" s="34">
        <f>SUM(D56-C56)</f>
        <v>-268.84168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1410.7539999999999</v>
      </c>
      <c r="D58" s="37">
        <v>1161.9223199999999</v>
      </c>
      <c r="E58" s="38">
        <f t="shared" ref="E58:E97" si="3">SUM(D58/C58*100)</f>
        <v>82.361795181867279</v>
      </c>
      <c r="F58" s="38">
        <f t="shared" ref="F58:F97" si="4">SUM(D58-C58)</f>
        <v>-248.83168000000001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19.635999999999999</v>
      </c>
      <c r="D61" s="37">
        <v>19.635999999999999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7" ht="18.75" customHeight="1">
      <c r="A63" s="35" t="s">
        <v>44</v>
      </c>
      <c r="B63" s="39" t="s">
        <v>45</v>
      </c>
      <c r="C63" s="37">
        <v>20.402999999999999</v>
      </c>
      <c r="D63" s="37">
        <v>20.402999999999999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139.81729000000001</v>
      </c>
      <c r="E64" s="34">
        <f t="shared" si="3"/>
        <v>81.884690393501586</v>
      </c>
      <c r="F64" s="34">
        <f t="shared" si="4"/>
        <v>-30.931709999999981</v>
      </c>
    </row>
    <row r="65" spans="1:7">
      <c r="A65" s="43" t="s">
        <v>48</v>
      </c>
      <c r="B65" s="44" t="s">
        <v>49</v>
      </c>
      <c r="C65" s="37">
        <v>170.749</v>
      </c>
      <c r="D65" s="37">
        <v>139.81729000000001</v>
      </c>
      <c r="E65" s="38">
        <f t="shared" si="3"/>
        <v>81.884690393501586</v>
      </c>
      <c r="F65" s="38">
        <f t="shared" si="4"/>
        <v>-30.931709999999981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1.46</v>
      </c>
      <c r="D66" s="32">
        <f>D69+D70</f>
        <v>0</v>
      </c>
      <c r="E66" s="34">
        <f t="shared" si="3"/>
        <v>0</v>
      </c>
      <c r="F66" s="34">
        <f t="shared" si="4"/>
        <v>-1.46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1.46</v>
      </c>
      <c r="D70" s="37">
        <v>0</v>
      </c>
      <c r="E70" s="34">
        <f t="shared" si="3"/>
        <v>0</v>
      </c>
      <c r="F70" s="34">
        <f t="shared" si="4"/>
        <v>-1.46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2299.6881600000002</v>
      </c>
      <c r="D71" s="48">
        <f>SUM(D72:D75)</f>
        <v>1641.4518699999999</v>
      </c>
      <c r="E71" s="34">
        <f t="shared" si="3"/>
        <v>71.377150108908666</v>
      </c>
      <c r="F71" s="34">
        <f t="shared" si="4"/>
        <v>-658.23629000000028</v>
      </c>
    </row>
    <row r="72" spans="1:7" ht="15" customHeight="1">
      <c r="A72" s="35" t="s">
        <v>60</v>
      </c>
      <c r="B72" s="39" t="s">
        <v>61</v>
      </c>
      <c r="C72" s="49">
        <v>16.25</v>
      </c>
      <c r="D72" s="37">
        <v>7.4162499999999998</v>
      </c>
      <c r="E72" s="38">
        <f t="shared" si="3"/>
        <v>45.638461538461542</v>
      </c>
      <c r="F72" s="38">
        <f t="shared" si="4"/>
        <v>-8.8337500000000002</v>
      </c>
    </row>
    <row r="73" spans="1:7" s="6" customFormat="1" ht="15" customHeight="1">
      <c r="A73" s="35" t="s">
        <v>62</v>
      </c>
      <c r="B73" s="39" t="s">
        <v>63</v>
      </c>
      <c r="C73" s="49">
        <v>135.74794</v>
      </c>
      <c r="D73" s="37">
        <v>80.037540000000007</v>
      </c>
      <c r="E73" s="38">
        <f t="shared" si="3"/>
        <v>58.96040853363963</v>
      </c>
      <c r="F73" s="38">
        <f t="shared" si="4"/>
        <v>-55.710399999999993</v>
      </c>
      <c r="G73" s="50"/>
    </row>
    <row r="74" spans="1:7">
      <c r="A74" s="35" t="s">
        <v>64</v>
      </c>
      <c r="B74" s="39" t="s">
        <v>65</v>
      </c>
      <c r="C74" s="49">
        <v>1907.59158</v>
      </c>
      <c r="D74" s="37">
        <v>1500.8994399999999</v>
      </c>
      <c r="E74" s="38">
        <f t="shared" si="3"/>
        <v>78.680334707705086</v>
      </c>
      <c r="F74" s="38">
        <f t="shared" si="4"/>
        <v>-406.69214000000011</v>
      </c>
    </row>
    <row r="75" spans="1:7">
      <c r="A75" s="35" t="s">
        <v>66</v>
      </c>
      <c r="B75" s="39" t="s">
        <v>67</v>
      </c>
      <c r="C75" s="49">
        <v>240.09863999999999</v>
      </c>
      <c r="D75" s="37">
        <v>53.098640000000003</v>
      </c>
      <c r="E75" s="38">
        <f t="shared" si="3"/>
        <v>22.115343926979346</v>
      </c>
      <c r="F75" s="38">
        <f t="shared" si="4"/>
        <v>-187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826.53242</v>
      </c>
      <c r="D76" s="32">
        <f>SUM(D77:D79)</f>
        <v>653.17400999999995</v>
      </c>
      <c r="E76" s="34">
        <f t="shared" si="3"/>
        <v>79.025818491185134</v>
      </c>
      <c r="F76" s="34">
        <f t="shared" si="4"/>
        <v>-173.35841000000005</v>
      </c>
    </row>
    <row r="77" spans="1:7" ht="14.25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826.53242</v>
      </c>
      <c r="D79" s="37">
        <v>653.17400999999995</v>
      </c>
      <c r="E79" s="38">
        <f t="shared" si="3"/>
        <v>79.025818491185134</v>
      </c>
      <c r="F79" s="38">
        <f t="shared" si="4"/>
        <v>-173.35841000000005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1809.61922</v>
      </c>
      <c r="E80" s="34">
        <f>SUM(D80/C80*100)</f>
        <v>86.178499416625002</v>
      </c>
      <c r="F80" s="34">
        <f t="shared" si="4"/>
        <v>-290.23077999999987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1809.61922</v>
      </c>
      <c r="E81" s="38">
        <f>SUM(D81/C81*100)</f>
        <v>86.178499416625002</v>
      </c>
      <c r="F81" s="38">
        <f t="shared" si="4"/>
        <v>-290.23077999999987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26.315000000000001</v>
      </c>
      <c r="E87" s="38">
        <f t="shared" si="3"/>
        <v>71.121621621621628</v>
      </c>
      <c r="F87" s="22">
        <f>F88+F89+F90+F91+F92</f>
        <v>-10.684999999999999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26.315000000000001</v>
      </c>
      <c r="E88" s="38">
        <f t="shared" si="3"/>
        <v>71.121621621621628</v>
      </c>
      <c r="F88" s="38">
        <f>SUM(D88-C88)</f>
        <v>-10.684999999999999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93">
        <f>C56+C64+C66+C71+C76+C80+C82+C87+C93</f>
        <v>6906.0825800000002</v>
      </c>
      <c r="D97" s="393">
        <f>D56+D64+D66+D71+D76+D80+D82+D87+D93</f>
        <v>5472.3387099999991</v>
      </c>
      <c r="E97" s="34">
        <f t="shared" si="3"/>
        <v>79.239404490294973</v>
      </c>
      <c r="F97" s="34">
        <f t="shared" si="4"/>
        <v>-1433.7438700000012</v>
      </c>
      <c r="G97" s="293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AEB392BF-DA26-444D-A19F-E51C57137A4D}" hiddenRows="1" topLeftCell="A10">
      <selection activeCell="C35" sqref="C35"/>
      <pageMargins left="0.7" right="0.7" top="0.75" bottom="0.75" header="0.3" footer="0.3"/>
      <pageSetup paperSize="9" scale="49" orientation="portrait" r:id="rId1"/>
    </customSheetView>
    <customSheetView guid="{B30CE22D-C12F-4E12-8BB9-3AAE0A6991CC}" scale="70" showPageBreaks="1" hiddenRows="1" view="pageBreakPreview" topLeftCell="A28">
      <selection activeCell="D74" sqref="D7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4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5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topLeftCell="A20" zoomScaleNormal="10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3" t="s">
        <v>429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1322.6336900000001</v>
      </c>
      <c r="E4" s="5">
        <f>SUM(D4/C4*100)</f>
        <v>89.156298618132794</v>
      </c>
      <c r="F4" s="5">
        <f>SUM(D4-C4)</f>
        <v>-160.86630999999988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94.437269999999998</v>
      </c>
      <c r="E5" s="5">
        <f t="shared" ref="E5:E51" si="0">SUM(D5/C5*100)</f>
        <v>90.111898854961836</v>
      </c>
      <c r="F5" s="5">
        <f t="shared" ref="F5:F51" si="1">SUM(D5-C5)</f>
        <v>-10.362729999999999</v>
      </c>
    </row>
    <row r="6" spans="1:6">
      <c r="A6" s="7">
        <v>1010200001</v>
      </c>
      <c r="B6" s="8" t="s">
        <v>229</v>
      </c>
      <c r="C6" s="9">
        <v>104.8</v>
      </c>
      <c r="D6" s="10">
        <v>94.437269999999998</v>
      </c>
      <c r="E6" s="9">
        <f t="shared" ref="E6:E11" si="2">SUM(D6/C6*100)</f>
        <v>90.111898854961836</v>
      </c>
      <c r="F6" s="9">
        <f t="shared" si="1"/>
        <v>-10.362729999999999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700.70604000000003</v>
      </c>
      <c r="E7" s="5">
        <f t="shared" si="2"/>
        <v>96.822722122426427</v>
      </c>
      <c r="F7" s="5">
        <f t="shared" si="1"/>
        <v>-22.993959999999902</v>
      </c>
    </row>
    <row r="8" spans="1:6">
      <c r="A8" s="7">
        <v>1030223001</v>
      </c>
      <c r="B8" s="8" t="s">
        <v>283</v>
      </c>
      <c r="C8" s="9">
        <v>269.94</v>
      </c>
      <c r="D8" s="10">
        <v>311.49664000000001</v>
      </c>
      <c r="E8" s="9">
        <f t="shared" si="2"/>
        <v>115.39476920797216</v>
      </c>
      <c r="F8" s="9">
        <f t="shared" si="1"/>
        <v>41.556640000000016</v>
      </c>
    </row>
    <row r="9" spans="1:6">
      <c r="A9" s="7">
        <v>1030224001</v>
      </c>
      <c r="B9" s="8" t="s">
        <v>289</v>
      </c>
      <c r="C9" s="9">
        <v>2.9</v>
      </c>
      <c r="D9" s="10">
        <v>2.9566400000000002</v>
      </c>
      <c r="E9" s="9">
        <f>SUM(D9/C9*100)</f>
        <v>101.95310344827587</v>
      </c>
      <c r="F9" s="9">
        <f t="shared" si="1"/>
        <v>5.6640000000000246E-2</v>
      </c>
    </row>
    <row r="10" spans="1:6">
      <c r="A10" s="7">
        <v>1030225001</v>
      </c>
      <c r="B10" s="8" t="s">
        <v>282</v>
      </c>
      <c r="C10" s="9">
        <v>450.86</v>
      </c>
      <c r="D10" s="10">
        <v>455.74781000000002</v>
      </c>
      <c r="E10" s="9">
        <f t="shared" si="2"/>
        <v>101.08410814887105</v>
      </c>
      <c r="F10" s="9">
        <f t="shared" si="1"/>
        <v>4.8878100000000018</v>
      </c>
    </row>
    <row r="11" spans="1:6">
      <c r="A11" s="7">
        <v>1030226001</v>
      </c>
      <c r="B11" s="8" t="s">
        <v>291</v>
      </c>
      <c r="C11" s="9">
        <v>0</v>
      </c>
      <c r="D11" s="10">
        <v>-69.495050000000006</v>
      </c>
      <c r="E11" s="9" t="e">
        <f t="shared" si="2"/>
        <v>#DIV/0!</v>
      </c>
      <c r="F11" s="9">
        <f t="shared" si="1"/>
        <v>-69.495050000000006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26.056799999999999</v>
      </c>
      <c r="E12" s="5">
        <f t="shared" si="0"/>
        <v>173.71199999999999</v>
      </c>
      <c r="F12" s="5">
        <f t="shared" si="1"/>
        <v>11.056799999999999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26.056799999999999</v>
      </c>
      <c r="E13" s="9">
        <f t="shared" si="0"/>
        <v>173.71199999999999</v>
      </c>
      <c r="F13" s="9">
        <f t="shared" si="1"/>
        <v>11.056799999999999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496.33357999999998</v>
      </c>
      <c r="E14" s="5">
        <f t="shared" si="0"/>
        <v>78.783107936507932</v>
      </c>
      <c r="F14" s="5">
        <f t="shared" si="1"/>
        <v>-133.66642000000002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69.849000000000004</v>
      </c>
      <c r="E15" s="9">
        <f t="shared" si="0"/>
        <v>43.655625000000001</v>
      </c>
      <c r="F15" s="9">
        <f>SUM(D15-C15)</f>
        <v>-90.150999999999996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426.48457999999999</v>
      </c>
      <c r="E16" s="9">
        <f t="shared" si="0"/>
        <v>90.741399999999999</v>
      </c>
      <c r="F16" s="9">
        <f t="shared" si="1"/>
        <v>-43.515420000000006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5.0999999999999996</v>
      </c>
      <c r="E17" s="5">
        <f t="shared" si="0"/>
        <v>51</v>
      </c>
      <c r="F17" s="5">
        <f t="shared" si="1"/>
        <v>-4.9000000000000004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5.0999999999999996</v>
      </c>
      <c r="E18" s="9">
        <f t="shared" si="0"/>
        <v>51</v>
      </c>
      <c r="F18" s="9">
        <f t="shared" si="1"/>
        <v>-4.9000000000000004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390</v>
      </c>
      <c r="D25" s="5">
        <f>D26+D29+D32+D37+D35</f>
        <v>439.61543999999998</v>
      </c>
      <c r="E25" s="5">
        <f t="shared" si="0"/>
        <v>112.72190769230768</v>
      </c>
      <c r="F25" s="5">
        <f t="shared" si="1"/>
        <v>49.615439999999978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340</v>
      </c>
      <c r="D26" s="5">
        <f>D27+D28</f>
        <v>364.37491999999997</v>
      </c>
      <c r="E26" s="5">
        <f t="shared" si="0"/>
        <v>107.16909411764706</v>
      </c>
      <c r="F26" s="5">
        <f t="shared" si="1"/>
        <v>24.374919999999975</v>
      </c>
    </row>
    <row r="27" spans="1:6">
      <c r="A27" s="16">
        <v>1110502510</v>
      </c>
      <c r="B27" s="17" t="s">
        <v>226</v>
      </c>
      <c r="C27" s="12">
        <v>300</v>
      </c>
      <c r="D27" s="10">
        <v>305.50894</v>
      </c>
      <c r="E27" s="9">
        <f t="shared" si="0"/>
        <v>101.83631333333334</v>
      </c>
      <c r="F27" s="9">
        <f t="shared" si="1"/>
        <v>5.5089399999999955</v>
      </c>
    </row>
    <row r="28" spans="1:6" ht="18" customHeight="1">
      <c r="A28" s="7">
        <v>1110503505</v>
      </c>
      <c r="B28" s="11" t="s">
        <v>225</v>
      </c>
      <c r="C28" s="12">
        <v>40</v>
      </c>
      <c r="D28" s="10">
        <v>58.86598</v>
      </c>
      <c r="E28" s="9">
        <f t="shared" si="0"/>
        <v>147.16495</v>
      </c>
      <c r="F28" s="9">
        <f t="shared" si="1"/>
        <v>18.86598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50</v>
      </c>
      <c r="D29" s="5">
        <f>D30+D31</f>
        <v>75.498149999999995</v>
      </c>
      <c r="E29" s="5">
        <f t="shared" si="0"/>
        <v>150.99629999999999</v>
      </c>
      <c r="F29" s="5">
        <f t="shared" si="1"/>
        <v>25.498149999999995</v>
      </c>
    </row>
    <row r="30" spans="1:6" ht="15.75" customHeight="1">
      <c r="A30" s="7">
        <v>1130206510</v>
      </c>
      <c r="B30" s="8" t="s">
        <v>338</v>
      </c>
      <c r="C30" s="9">
        <v>40</v>
      </c>
      <c r="D30" s="321">
        <v>65.471209999999999</v>
      </c>
      <c r="E30" s="9">
        <f t="shared" si="0"/>
        <v>163.67802499999999</v>
      </c>
      <c r="F30" s="9">
        <f t="shared" si="1"/>
        <v>25.471209999999999</v>
      </c>
    </row>
    <row r="31" spans="1:6" ht="17.25" customHeight="1">
      <c r="A31" s="7">
        <v>1130299510</v>
      </c>
      <c r="B31" s="8" t="s">
        <v>357</v>
      </c>
      <c r="C31" s="9">
        <v>10</v>
      </c>
      <c r="D31" s="321">
        <v>10.02694</v>
      </c>
      <c r="E31" s="9">
        <f>SUM(D31/C31*100)</f>
        <v>100.26939999999999</v>
      </c>
      <c r="F31" s="9">
        <f>SUM(D31-C31)</f>
        <v>2.6939999999999742E-2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1873.5</v>
      </c>
      <c r="D40" s="127">
        <f>D4+D25</f>
        <v>1762.2491300000002</v>
      </c>
      <c r="E40" s="5">
        <f t="shared" si="0"/>
        <v>94.061869762476661</v>
      </c>
      <c r="F40" s="5">
        <f t="shared" si="1"/>
        <v>-111.25086999999985</v>
      </c>
    </row>
    <row r="41" spans="1:7" s="6" customFormat="1">
      <c r="A41" s="3">
        <v>2000000000</v>
      </c>
      <c r="B41" s="4" t="s">
        <v>20</v>
      </c>
      <c r="C41" s="5">
        <f>C42+C43+C44+C45+C46+C48</f>
        <v>3283.1060000000002</v>
      </c>
      <c r="D41" s="5">
        <f>D42+D43+D44+D45+D46+D48+D49</f>
        <v>2863.0810999999999</v>
      </c>
      <c r="E41" s="5">
        <f t="shared" si="0"/>
        <v>87.206477646472564</v>
      </c>
      <c r="F41" s="5">
        <f t="shared" si="1"/>
        <v>-420.02490000000034</v>
      </c>
      <c r="G41" s="19"/>
    </row>
    <row r="42" spans="1:7">
      <c r="A42" s="16">
        <v>2021000000</v>
      </c>
      <c r="B42" s="17" t="s">
        <v>21</v>
      </c>
      <c r="C42" s="99">
        <v>1351.8630000000001</v>
      </c>
      <c r="D42" s="402">
        <v>1271.4939999999999</v>
      </c>
      <c r="E42" s="9">
        <f t="shared" si="0"/>
        <v>94.054944916755616</v>
      </c>
      <c r="F42" s="9">
        <f t="shared" si="1"/>
        <v>-80.369000000000142</v>
      </c>
    </row>
    <row r="43" spans="1:7" ht="15.75" customHeight="1">
      <c r="A43" s="16">
        <v>2021500200</v>
      </c>
      <c r="B43" s="17" t="s">
        <v>232</v>
      </c>
      <c r="C43" s="99">
        <v>902</v>
      </c>
      <c r="D43" s="20">
        <v>627.47230000000002</v>
      </c>
      <c r="E43" s="9">
        <f>SUM(D43/C43*100)</f>
        <v>69.564556541019968</v>
      </c>
      <c r="F43" s="9">
        <f>SUM(D43-C43)</f>
        <v>-274.52769999999998</v>
      </c>
    </row>
    <row r="44" spans="1:7">
      <c r="A44" s="16">
        <v>2022000000</v>
      </c>
      <c r="B44" s="17" t="s">
        <v>22</v>
      </c>
      <c r="C44" s="99">
        <v>682.53499999999997</v>
      </c>
      <c r="D44" s="10">
        <v>650.56500000000005</v>
      </c>
      <c r="E44" s="9">
        <f t="shared" si="0"/>
        <v>95.315991121334449</v>
      </c>
      <c r="F44" s="9">
        <f t="shared" si="1"/>
        <v>-31.969999999999914</v>
      </c>
    </row>
    <row r="45" spans="1:7" ht="18" customHeight="1">
      <c r="A45" s="16">
        <v>2023000000</v>
      </c>
      <c r="B45" s="17" t="s">
        <v>23</v>
      </c>
      <c r="C45" s="12">
        <v>174.108</v>
      </c>
      <c r="D45" s="251">
        <v>170.749</v>
      </c>
      <c r="E45" s="9">
        <f t="shared" si="0"/>
        <v>98.070737703034894</v>
      </c>
      <c r="F45" s="9">
        <f t="shared" si="1"/>
        <v>-3.3590000000000089</v>
      </c>
    </row>
    <row r="46" spans="1:7" ht="22.5" customHeight="1">
      <c r="A46" s="16">
        <v>2020400000</v>
      </c>
      <c r="B46" s="17" t="s">
        <v>24</v>
      </c>
      <c r="C46" s="12">
        <v>120</v>
      </c>
      <c r="D46" s="252">
        <v>120</v>
      </c>
      <c r="E46" s="9">
        <f t="shared" si="0"/>
        <v>100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2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2">
        <v>-29.799199999999999</v>
      </c>
      <c r="E49" s="9" t="e">
        <f t="shared" si="0"/>
        <v>#DIV/0!</v>
      </c>
      <c r="F49" s="9">
        <f t="shared" si="1"/>
        <v>-29.799199999999999</v>
      </c>
    </row>
    <row r="50" spans="1:8" s="6" customFormat="1" ht="0.75" hidden="1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89">
        <f>C40+C41</f>
        <v>5156.6059999999998</v>
      </c>
      <c r="D51" s="389">
        <f>D40+D41</f>
        <v>4625.3302299999996</v>
      </c>
      <c r="E51" s="93">
        <f t="shared" si="0"/>
        <v>89.697181246734772</v>
      </c>
      <c r="F51" s="93">
        <f t="shared" si="1"/>
        <v>-531.27577000000019</v>
      </c>
      <c r="G51" s="293"/>
      <c r="H51" s="293"/>
    </row>
    <row r="52" spans="1:8" s="6" customFormat="1">
      <c r="A52" s="3"/>
      <c r="B52" s="21" t="s">
        <v>321</v>
      </c>
      <c r="C52" s="93">
        <f>C51-C98</f>
        <v>-307.03722999999991</v>
      </c>
      <c r="D52" s="93">
        <f>D51-D98</f>
        <v>167.61689999999908</v>
      </c>
      <c r="E52" s="281"/>
      <c r="F52" s="281"/>
    </row>
    <row r="53" spans="1:8">
      <c r="A53" s="23"/>
      <c r="B53" s="24"/>
      <c r="C53" s="250"/>
      <c r="D53" s="250"/>
      <c r="E53" s="26"/>
      <c r="F53" s="27"/>
    </row>
    <row r="54" spans="1:8" ht="45" customHeight="1">
      <c r="A54" s="28" t="s">
        <v>1</v>
      </c>
      <c r="B54" s="28" t="s">
        <v>29</v>
      </c>
      <c r="C54" s="243" t="s">
        <v>346</v>
      </c>
      <c r="D54" s="244" t="s">
        <v>417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1126.56</v>
      </c>
      <c r="D56" s="33">
        <f>D57+D58+D59+D60+D61+D63+D62</f>
        <v>952.00297</v>
      </c>
      <c r="E56" s="34">
        <f>SUM(D56/C56*100)</f>
        <v>84.505305531884673</v>
      </c>
      <c r="F56" s="34">
        <f>SUM(D56-C56)</f>
        <v>-174.55702999999994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926.90597000000002</v>
      </c>
      <c r="E58" s="38">
        <f t="shared" ref="E58:E98" si="3">SUM(D58/C58*100)</f>
        <v>84.536000758803539</v>
      </c>
      <c r="F58" s="38">
        <f t="shared" ref="F58:F98" si="4">SUM(D58-C58)</f>
        <v>-169.55702999999994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16.561</v>
      </c>
      <c r="E61" s="38">
        <f t="shared" si="3"/>
        <v>100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8.5359999999999996</v>
      </c>
      <c r="D63" s="37">
        <v>8.5359999999999996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139.26421999999999</v>
      </c>
      <c r="E64" s="34">
        <f t="shared" si="3"/>
        <v>81.560782200774241</v>
      </c>
      <c r="F64" s="34">
        <f t="shared" si="4"/>
        <v>-31.484780000000001</v>
      </c>
    </row>
    <row r="65" spans="1:7">
      <c r="A65" s="43" t="s">
        <v>48</v>
      </c>
      <c r="B65" s="44" t="s">
        <v>49</v>
      </c>
      <c r="C65" s="37">
        <v>170.749</v>
      </c>
      <c r="D65" s="37">
        <v>139.26421999999999</v>
      </c>
      <c r="E65" s="38">
        <f t="shared" si="3"/>
        <v>81.560782200774241</v>
      </c>
      <c r="F65" s="38">
        <f t="shared" si="4"/>
        <v>-31.484780000000001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19.606000000000002</v>
      </c>
      <c r="D66" s="32">
        <f>SUM(D67:D69)</f>
        <v>0</v>
      </c>
      <c r="E66" s="34">
        <f t="shared" si="3"/>
        <v>0</v>
      </c>
      <c r="F66" s="34">
        <f t="shared" si="4"/>
        <v>-19.606000000000002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19.606000000000002</v>
      </c>
      <c r="D70" s="37">
        <v>0</v>
      </c>
      <c r="E70" s="34">
        <f t="shared" si="3"/>
        <v>0</v>
      </c>
      <c r="F70" s="34">
        <f t="shared" si="4"/>
        <v>-19.606000000000002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2358.4306699999997</v>
      </c>
      <c r="D71" s="48">
        <f>SUM(D72:D76)</f>
        <v>2030.7471399999999</v>
      </c>
      <c r="E71" s="34">
        <f t="shared" si="3"/>
        <v>86.105865473671102</v>
      </c>
      <c r="F71" s="34">
        <f t="shared" si="4"/>
        <v>-327.68352999999979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7.25" customHeight="1">
      <c r="A73" s="35" t="s">
        <v>62</v>
      </c>
      <c r="B73" s="39" t="s">
        <v>63</v>
      </c>
      <c r="C73" s="49">
        <v>357.74644000000001</v>
      </c>
      <c r="D73" s="37">
        <v>231.97229999999999</v>
      </c>
      <c r="E73" s="38">
        <f t="shared" si="3"/>
        <v>64.84265783329667</v>
      </c>
      <c r="F73" s="38">
        <f t="shared" si="4"/>
        <v>-125.77414000000002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1666.5988400000001</v>
      </c>
      <c r="E75" s="38">
        <f t="shared" si="3"/>
        <v>91.847805027993516</v>
      </c>
      <c r="F75" s="38">
        <f t="shared" si="4"/>
        <v>-147.92338999999993</v>
      </c>
    </row>
    <row r="76" spans="1:7">
      <c r="A76" s="35" t="s">
        <v>66</v>
      </c>
      <c r="B76" s="39" t="s">
        <v>67</v>
      </c>
      <c r="C76" s="49">
        <v>178.66200000000001</v>
      </c>
      <c r="D76" s="37">
        <v>132.17599999999999</v>
      </c>
      <c r="E76" s="38">
        <f t="shared" si="3"/>
        <v>73.98103681812583</v>
      </c>
      <c r="F76" s="38">
        <f t="shared" si="4"/>
        <v>-46.486000000000018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541.99955999999997</v>
      </c>
      <c r="D77" s="32">
        <f>SUM(D78:D80)</f>
        <v>276.20100000000002</v>
      </c>
      <c r="E77" s="34">
        <f t="shared" si="3"/>
        <v>50.959635465386732</v>
      </c>
      <c r="F77" s="34">
        <f t="shared" si="4"/>
        <v>-265.79855999999995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541.99955999999997</v>
      </c>
      <c r="D80" s="37">
        <v>276.20100000000002</v>
      </c>
      <c r="E80" s="38">
        <f t="shared" si="3"/>
        <v>50.959635465386732</v>
      </c>
      <c r="F80" s="38">
        <f t="shared" si="4"/>
        <v>-265.79855999999995</v>
      </c>
    </row>
    <row r="81" spans="1:6" s="6" customFormat="1">
      <c r="A81" s="30" t="s">
        <v>86</v>
      </c>
      <c r="B81" s="31" t="s">
        <v>87</v>
      </c>
      <c r="C81" s="32">
        <f>C82</f>
        <v>1236.298</v>
      </c>
      <c r="D81" s="32">
        <f>D82</f>
        <v>1049.498</v>
      </c>
      <c r="E81" s="34">
        <f t="shared" si="3"/>
        <v>84.890374327225317</v>
      </c>
      <c r="F81" s="34">
        <f t="shared" si="4"/>
        <v>-186.79999999999995</v>
      </c>
    </row>
    <row r="82" spans="1:6" ht="15.75" hidden="1" customHeight="1">
      <c r="A82" s="35" t="s">
        <v>88</v>
      </c>
      <c r="B82" s="39" t="s">
        <v>234</v>
      </c>
      <c r="C82" s="37">
        <v>1236.298</v>
      </c>
      <c r="D82" s="37">
        <v>1049.498</v>
      </c>
      <c r="E82" s="38">
        <f t="shared" si="3"/>
        <v>84.890374327225317</v>
      </c>
      <c r="F82" s="38">
        <f t="shared" si="4"/>
        <v>-186.79999999999995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7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7" s="6" customFormat="1">
      <c r="A98" s="52"/>
      <c r="B98" s="57" t="s">
        <v>119</v>
      </c>
      <c r="C98" s="393">
        <f>C56+C64+C66+C71+C77+C81+C96</f>
        <v>5463.6432299999997</v>
      </c>
      <c r="D98" s="393">
        <f>D56+D64+D66+D71+D77+D81+D88+D83+D94+D96</f>
        <v>4457.7133300000005</v>
      </c>
      <c r="E98" s="34">
        <f t="shared" si="3"/>
        <v>81.588660575848053</v>
      </c>
      <c r="F98" s="34">
        <f t="shared" si="4"/>
        <v>-1005.9298999999992</v>
      </c>
      <c r="G98" s="293"/>
    </row>
    <row r="99" spans="1:7" ht="16.5" customHeight="1">
      <c r="C99" s="126"/>
      <c r="D99" s="101"/>
    </row>
    <row r="100" spans="1:7" s="65" customFormat="1" ht="20.25" customHeight="1">
      <c r="A100" s="63" t="s">
        <v>120</v>
      </c>
      <c r="B100" s="63"/>
      <c r="C100" s="116"/>
      <c r="D100" s="64" t="s">
        <v>275</v>
      </c>
    </row>
    <row r="101" spans="1:7" s="65" customFormat="1" ht="13.5" customHeight="1">
      <c r="A101" s="66" t="s">
        <v>121</v>
      </c>
      <c r="B101" s="66"/>
      <c r="C101" s="65" t="s">
        <v>122</v>
      </c>
    </row>
    <row r="103" spans="1:7" ht="5.25" customHeight="1"/>
  </sheetData>
  <customSheetViews>
    <customSheetView guid="{AEB392BF-DA26-444D-A19F-E51C57137A4D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B30CE22D-C12F-4E12-8BB9-3AAE0A6991CC}" scale="70" showPageBreaks="1" printArea="1" hiddenRows="1" view="pageBreakPreview" topLeftCell="A25">
      <selection activeCell="C82" sqref="C8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4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8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99"/>
  <sheetViews>
    <sheetView topLeftCell="A18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430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793.34852000000001</v>
      </c>
      <c r="E4" s="5">
        <f>SUM(D4/C4*100)</f>
        <v>84.877342462822298</v>
      </c>
      <c r="F4" s="5">
        <f>SUM(D4-C4)</f>
        <v>-141.35148000000004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83.810720000000003</v>
      </c>
      <c r="E5" s="5">
        <f t="shared" ref="E5:E49" si="0">SUM(D5/C5*100)</f>
        <v>97.681491841491848</v>
      </c>
      <c r="F5" s="5">
        <f t="shared" ref="F5:F49" si="1">SUM(D5-C5)</f>
        <v>-1.9892799999999937</v>
      </c>
    </row>
    <row r="6" spans="1:6">
      <c r="A6" s="7">
        <v>1010200001</v>
      </c>
      <c r="B6" s="8" t="s">
        <v>229</v>
      </c>
      <c r="C6" s="9">
        <v>85.8</v>
      </c>
      <c r="D6" s="10">
        <v>83.810720000000003</v>
      </c>
      <c r="E6" s="9">
        <f t="shared" ref="E6:E11" si="2">SUM(D6/C6*100)</f>
        <v>97.681491841491848</v>
      </c>
      <c r="F6" s="9">
        <f t="shared" si="1"/>
        <v>-1.9892799999999937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320.38186999999999</v>
      </c>
      <c r="E7" s="5">
        <f t="shared" si="2"/>
        <v>96.821356905409473</v>
      </c>
      <c r="F7" s="5">
        <f t="shared" si="1"/>
        <v>-10.518130000000042</v>
      </c>
    </row>
    <row r="8" spans="1:6">
      <c r="A8" s="7">
        <v>1030223001</v>
      </c>
      <c r="B8" s="8" t="s">
        <v>283</v>
      </c>
      <c r="C8" s="9">
        <v>123.43</v>
      </c>
      <c r="D8" s="10">
        <v>142.42472000000001</v>
      </c>
      <c r="E8" s="9">
        <f t="shared" si="2"/>
        <v>115.38906262658996</v>
      </c>
      <c r="F8" s="9">
        <f t="shared" si="1"/>
        <v>18.994720000000001</v>
      </c>
    </row>
    <row r="9" spans="1:6">
      <c r="A9" s="7">
        <v>1030224001</v>
      </c>
      <c r="B9" s="8" t="s">
        <v>289</v>
      </c>
      <c r="C9" s="9">
        <v>1.32</v>
      </c>
      <c r="D9" s="10">
        <v>1.35189</v>
      </c>
      <c r="E9" s="9">
        <f t="shared" si="2"/>
        <v>102.4159090909091</v>
      </c>
      <c r="F9" s="9">
        <f t="shared" si="1"/>
        <v>3.1889999999999974E-2</v>
      </c>
    </row>
    <row r="10" spans="1:6">
      <c r="A10" s="7">
        <v>1030225001</v>
      </c>
      <c r="B10" s="8" t="s">
        <v>282</v>
      </c>
      <c r="C10" s="9">
        <v>206.15</v>
      </c>
      <c r="D10" s="10">
        <v>208.38027</v>
      </c>
      <c r="E10" s="9">
        <f t="shared" si="2"/>
        <v>101.0818675721562</v>
      </c>
      <c r="F10" s="9">
        <f t="shared" si="1"/>
        <v>2.2302699999999902</v>
      </c>
    </row>
    <row r="11" spans="1:6">
      <c r="A11" s="7">
        <v>1030226001</v>
      </c>
      <c r="B11" s="8" t="s">
        <v>291</v>
      </c>
      <c r="C11" s="9">
        <v>0</v>
      </c>
      <c r="D11" s="10">
        <v>-31.775010000000002</v>
      </c>
      <c r="E11" s="9" t="e">
        <f t="shared" si="2"/>
        <v>#DIV/0!</v>
      </c>
      <c r="F11" s="9">
        <f t="shared" si="1"/>
        <v>-31.775010000000002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4.3319999999999999</v>
      </c>
      <c r="E12" s="5">
        <f t="shared" si="0"/>
        <v>43.32</v>
      </c>
      <c r="F12" s="5">
        <f t="shared" si="1"/>
        <v>-5.6680000000000001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4.3319999999999999</v>
      </c>
      <c r="E13" s="9">
        <f t="shared" si="0"/>
        <v>43.32</v>
      </c>
      <c r="F13" s="9">
        <f t="shared" si="1"/>
        <v>-5.6680000000000001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488</v>
      </c>
      <c r="D14" s="5">
        <f>D15+D16</f>
        <v>363.62392999999997</v>
      </c>
      <c r="E14" s="5">
        <f t="shared" si="0"/>
        <v>74.513100409836071</v>
      </c>
      <c r="F14" s="5">
        <f t="shared" si="1"/>
        <v>-124.37607000000003</v>
      </c>
    </row>
    <row r="15" spans="1:6" s="6" customFormat="1" ht="15.75" customHeight="1">
      <c r="A15" s="7">
        <v>1060100000</v>
      </c>
      <c r="B15" s="11" t="s">
        <v>9</v>
      </c>
      <c r="C15" s="9">
        <v>98</v>
      </c>
      <c r="D15" s="10">
        <v>31.882370000000002</v>
      </c>
      <c r="E15" s="9">
        <f t="shared" si="0"/>
        <v>32.5330306122449</v>
      </c>
      <c r="F15" s="9">
        <f>SUM(D15-C15)</f>
        <v>-66.117629999999991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331.74155999999999</v>
      </c>
      <c r="E16" s="9">
        <f t="shared" si="0"/>
        <v>85.06193846153846</v>
      </c>
      <c r="F16" s="9">
        <f t="shared" si="1"/>
        <v>-58.258440000000007</v>
      </c>
    </row>
    <row r="17" spans="1:6" s="6" customFormat="1">
      <c r="A17" s="3">
        <v>1080000000</v>
      </c>
      <c r="B17" s="4" t="s">
        <v>11</v>
      </c>
      <c r="C17" s="5">
        <f>C18</f>
        <v>20</v>
      </c>
      <c r="D17" s="5">
        <f>D18</f>
        <v>21.2</v>
      </c>
      <c r="E17" s="5">
        <f t="shared" si="0"/>
        <v>106</v>
      </c>
      <c r="F17" s="5">
        <f t="shared" si="1"/>
        <v>1.1999999999999993</v>
      </c>
    </row>
    <row r="18" spans="1:6" ht="18" customHeight="1">
      <c r="A18" s="7">
        <v>1080400001</v>
      </c>
      <c r="B18" s="8" t="s">
        <v>228</v>
      </c>
      <c r="C18" s="9">
        <v>20</v>
      </c>
      <c r="D18" s="10">
        <v>21.2</v>
      </c>
      <c r="E18" s="9">
        <f t="shared" si="0"/>
        <v>106</v>
      </c>
      <c r="F18" s="9">
        <f t="shared" si="1"/>
        <v>1.1999999999999993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D27+D29+D34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7.25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423">
        <f>D4+D25</f>
        <v>798.38541999999995</v>
      </c>
      <c r="E37" s="5">
        <f t="shared" si="0"/>
        <v>82.503401880748157</v>
      </c>
      <c r="F37" s="5">
        <f t="shared" si="1"/>
        <v>-169.31458000000009</v>
      </c>
    </row>
    <row r="38" spans="1:7" s="6" customFormat="1">
      <c r="A38" s="3">
        <v>2000000000</v>
      </c>
      <c r="B38" s="4" t="s">
        <v>20</v>
      </c>
      <c r="C38" s="408">
        <f>C39+C41+C42+C43+C44+C45</f>
        <v>2848.6350000000002</v>
      </c>
      <c r="D38" s="343">
        <f>D39+D41+D42+D43+D45</f>
        <v>2678.6429499999999</v>
      </c>
      <c r="E38" s="5">
        <f t="shared" si="0"/>
        <v>94.032508552341724</v>
      </c>
      <c r="F38" s="5">
        <f t="shared" si="1"/>
        <v>-169.99205000000029</v>
      </c>
      <c r="G38" s="19"/>
    </row>
    <row r="39" spans="1:7" ht="14.25" customHeight="1">
      <c r="A39" s="16">
        <v>2021000000</v>
      </c>
      <c r="B39" s="17" t="s">
        <v>21</v>
      </c>
      <c r="C39" s="99">
        <v>1258.9960000000001</v>
      </c>
      <c r="D39" s="20">
        <v>1185.8820000000001</v>
      </c>
      <c r="E39" s="9">
        <f t="shared" si="0"/>
        <v>94.192674162586698</v>
      </c>
      <c r="F39" s="9">
        <f t="shared" si="1"/>
        <v>-73.114000000000033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930</v>
      </c>
      <c r="D41" s="20">
        <v>672.25</v>
      </c>
      <c r="E41" s="9">
        <f t="shared" si="0"/>
        <v>72.284946236559151</v>
      </c>
      <c r="F41" s="9">
        <f t="shared" si="1"/>
        <v>-257.75</v>
      </c>
    </row>
    <row r="42" spans="1:7">
      <c r="A42" s="16">
        <v>2022000000</v>
      </c>
      <c r="B42" s="17" t="s">
        <v>22</v>
      </c>
      <c r="C42" s="99">
        <v>480.904</v>
      </c>
      <c r="D42" s="10">
        <v>435.16199999999998</v>
      </c>
      <c r="E42" s="9">
        <f t="shared" si="0"/>
        <v>90.48833031124714</v>
      </c>
      <c r="F42" s="9">
        <f t="shared" si="1"/>
        <v>-45.742000000000019</v>
      </c>
    </row>
    <row r="43" spans="1:7" ht="17.25" customHeight="1">
      <c r="A43" s="16">
        <v>2023000000</v>
      </c>
      <c r="B43" s="17" t="s">
        <v>23</v>
      </c>
      <c r="C43" s="12">
        <v>88.734999999999999</v>
      </c>
      <c r="D43" s="251">
        <v>85.376000000000005</v>
      </c>
      <c r="E43" s="9">
        <f t="shared" si="0"/>
        <v>96.214571476869338</v>
      </c>
      <c r="F43" s="9">
        <f t="shared" si="1"/>
        <v>-3.3589999999999947</v>
      </c>
    </row>
    <row r="44" spans="1:7" ht="0.75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355</v>
      </c>
      <c r="C45" s="12">
        <v>90</v>
      </c>
      <c r="D45" s="252">
        <v>299.97295000000003</v>
      </c>
      <c r="E45" s="9">
        <f t="shared" si="0"/>
        <v>333.30327777777779</v>
      </c>
      <c r="F45" s="9">
        <f t="shared" si="1"/>
        <v>209.97295000000003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7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94">
        <f>C37+C38</f>
        <v>3816.335</v>
      </c>
      <c r="D49" s="394">
        <f>D37+D38</f>
        <v>3477.02837</v>
      </c>
      <c r="E49" s="5">
        <f t="shared" si="0"/>
        <v>91.109097340773275</v>
      </c>
      <c r="F49" s="5">
        <f t="shared" si="1"/>
        <v>-339.30663000000004</v>
      </c>
      <c r="G49" s="293"/>
      <c r="H49" s="386"/>
    </row>
    <row r="50" spans="1:8" s="6" customFormat="1" ht="15.75" customHeight="1">
      <c r="A50" s="3"/>
      <c r="B50" s="21" t="s">
        <v>321</v>
      </c>
      <c r="C50" s="280">
        <f>C49-C95</f>
        <v>16.760440000000017</v>
      </c>
      <c r="D50" s="280">
        <f>D49-D95</f>
        <v>654.5945300000003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8" t="s">
        <v>346</v>
      </c>
      <c r="D52" s="73" t="s">
        <v>417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798.45017999999993</v>
      </c>
      <c r="E54" s="34">
        <f>SUM(D54/C54*100)</f>
        <v>70.298174422546111</v>
      </c>
      <c r="F54" s="34">
        <f>SUM(D54-C54)</f>
        <v>-337.35482000000013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1128.096</v>
      </c>
      <c r="D56" s="37">
        <v>795.74167999999997</v>
      </c>
      <c r="E56" s="38">
        <f>SUM(D56/C56*100)</f>
        <v>70.538471903100444</v>
      </c>
      <c r="F56" s="38">
        <f t="shared" ref="F56:F95" si="3">SUM(D56-C56)</f>
        <v>-332.35432000000003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85.376000000000005</v>
      </c>
      <c r="D62" s="32">
        <f>D63</f>
        <v>60.185580000000002</v>
      </c>
      <c r="E62" s="34">
        <f t="shared" si="4"/>
        <v>70.494729197901052</v>
      </c>
      <c r="F62" s="34">
        <f t="shared" si="3"/>
        <v>-25.190420000000003</v>
      </c>
    </row>
    <row r="63" spans="1:8" ht="17.850000000000001" customHeight="1">
      <c r="A63" s="43" t="s">
        <v>48</v>
      </c>
      <c r="B63" s="44" t="s">
        <v>49</v>
      </c>
      <c r="C63" s="37">
        <v>85.376000000000005</v>
      </c>
      <c r="D63" s="37">
        <v>60.185580000000002</v>
      </c>
      <c r="E63" s="38">
        <f t="shared" si="4"/>
        <v>70.494729197901052</v>
      </c>
      <c r="F63" s="38">
        <f t="shared" si="3"/>
        <v>-25.190420000000003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4.8029999999999999</v>
      </c>
      <c r="D64" s="32">
        <f>SUM(D65:D67)</f>
        <v>2</v>
      </c>
      <c r="E64" s="34">
        <f t="shared" si="4"/>
        <v>41.640641265875495</v>
      </c>
      <c r="F64" s="34">
        <f t="shared" si="3"/>
        <v>-2.8029999999999999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2.8029999999999999</v>
      </c>
      <c r="D67" s="37">
        <v>2</v>
      </c>
      <c r="E67" s="34">
        <f t="shared" si="4"/>
        <v>71.352122725651085</v>
      </c>
      <c r="F67" s="34">
        <f t="shared" si="3"/>
        <v>-0.80299999999999994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906.68255999999997</v>
      </c>
      <c r="D69" s="48">
        <f>D70+D71+D72+D73</f>
        <v>782.76676999999995</v>
      </c>
      <c r="E69" s="34">
        <f t="shared" si="4"/>
        <v>86.333056852885747</v>
      </c>
      <c r="F69" s="34">
        <f t="shared" si="3"/>
        <v>-123.91579000000002</v>
      </c>
    </row>
    <row r="70" spans="1:7" ht="16.5" customHeight="1">
      <c r="A70" s="35" t="s">
        <v>60</v>
      </c>
      <c r="B70" s="39" t="s">
        <v>61</v>
      </c>
      <c r="C70" s="49">
        <v>7.5</v>
      </c>
      <c r="D70" s="37">
        <v>1.38</v>
      </c>
      <c r="E70" s="38">
        <f t="shared" si="4"/>
        <v>18.399999999999999</v>
      </c>
      <c r="F70" s="38">
        <f t="shared" si="3"/>
        <v>-6.12</v>
      </c>
    </row>
    <row r="71" spans="1:7" s="6" customFormat="1" ht="19.5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780.38676999999996</v>
      </c>
      <c r="E72" s="38">
        <f t="shared" si="4"/>
        <v>88.762767314219687</v>
      </c>
      <c r="F72" s="38">
        <f t="shared" si="3"/>
        <v>-98.795790000000011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186.208</v>
      </c>
      <c r="D74" s="32">
        <f>D77</f>
        <v>128.03130999999999</v>
      </c>
      <c r="E74" s="34">
        <f t="shared" si="4"/>
        <v>68.757147920604908</v>
      </c>
      <c r="F74" s="34">
        <f t="shared" si="3"/>
        <v>-58.176690000000008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v>186.208</v>
      </c>
      <c r="D77" s="37">
        <v>128.03130999999999</v>
      </c>
      <c r="E77" s="38">
        <f t="shared" si="4"/>
        <v>68.757147920604908</v>
      </c>
      <c r="F77" s="38">
        <f t="shared" si="3"/>
        <v>-58.176690000000008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1477.7</v>
      </c>
      <c r="D78" s="32">
        <f>D79</f>
        <v>1049</v>
      </c>
      <c r="E78" s="34">
        <f t="shared" si="4"/>
        <v>70.988698653312582</v>
      </c>
      <c r="F78" s="34">
        <f t="shared" si="3"/>
        <v>-428.70000000000005</v>
      </c>
    </row>
    <row r="79" spans="1:7" ht="15" customHeight="1">
      <c r="A79" s="35" t="s">
        <v>88</v>
      </c>
      <c r="B79" s="39" t="s">
        <v>234</v>
      </c>
      <c r="C79" s="37">
        <v>1477.7</v>
      </c>
      <c r="D79" s="37">
        <v>1049</v>
      </c>
      <c r="E79" s="38">
        <f t="shared" si="4"/>
        <v>70.988698653312582</v>
      </c>
      <c r="F79" s="38">
        <f t="shared" si="3"/>
        <v>-428.70000000000005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39"/>
      <c r="D93" s="240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96">
        <f>C54+C62+C64+C69+C74+C78+C80+C85+C91</f>
        <v>3799.57456</v>
      </c>
      <c r="D95" s="396">
        <f>D54+D62+D64+D69+D74+D78+D85</f>
        <v>2822.4338399999997</v>
      </c>
      <c r="E95" s="34">
        <f t="shared" si="4"/>
        <v>74.282891292966227</v>
      </c>
      <c r="F95" s="34">
        <f t="shared" si="3"/>
        <v>-977.14072000000033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AEB392BF-DA26-444D-A19F-E51C57137A4D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B30CE22D-C12F-4E12-8BB9-3AAE0A6991CC}" scale="70" showPageBreaks="1" hiddenRows="1" view="pageBreakPreview" topLeftCell="A4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4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5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431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1019.12</v>
      </c>
      <c r="D4" s="5">
        <f>D5+D12+D14+D17+D20+D7</f>
        <v>971.91731000000004</v>
      </c>
      <c r="E4" s="5">
        <f>SUM(D4/C4*100)</f>
        <v>95.368289308422959</v>
      </c>
      <c r="F4" s="5">
        <f>SUM(D4-C4)</f>
        <v>-47.202689999999961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74.941079999999999</v>
      </c>
      <c r="E5" s="5">
        <f t="shared" ref="E5:E51" si="0">SUM(D5/C5*100)</f>
        <v>78.637019937040932</v>
      </c>
      <c r="F5" s="5">
        <f t="shared" ref="F5:F51" si="1">SUM(D5-C5)</f>
        <v>-20.358919999999998</v>
      </c>
    </row>
    <row r="6" spans="1:6">
      <c r="A6" s="7">
        <v>1010200001</v>
      </c>
      <c r="B6" s="8" t="s">
        <v>229</v>
      </c>
      <c r="C6" s="9">
        <v>95.3</v>
      </c>
      <c r="D6" s="10">
        <v>74.941079999999999</v>
      </c>
      <c r="E6" s="9">
        <f t="shared" ref="E6:E11" si="2">SUM(D6/C6*100)</f>
        <v>78.637019937040932</v>
      </c>
      <c r="F6" s="9">
        <f t="shared" si="1"/>
        <v>-20.358919999999998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303.84590000000003</v>
      </c>
      <c r="E7" s="9">
        <f t="shared" si="2"/>
        <v>96.821713083933474</v>
      </c>
      <c r="F7" s="9">
        <f t="shared" si="1"/>
        <v>-9.9740999999999644</v>
      </c>
    </row>
    <row r="8" spans="1:6">
      <c r="A8" s="7">
        <v>1030223001</v>
      </c>
      <c r="B8" s="8" t="s">
        <v>283</v>
      </c>
      <c r="C8" s="9">
        <v>117.05</v>
      </c>
      <c r="D8" s="10">
        <v>135.07371000000001</v>
      </c>
      <c r="E8" s="9">
        <f t="shared" si="2"/>
        <v>115.39829987184964</v>
      </c>
      <c r="F8" s="9">
        <f t="shared" si="1"/>
        <v>18.023710000000008</v>
      </c>
    </row>
    <row r="9" spans="1:6">
      <c r="A9" s="7">
        <v>1030224001</v>
      </c>
      <c r="B9" s="8" t="s">
        <v>289</v>
      </c>
      <c r="C9" s="9">
        <v>1.26</v>
      </c>
      <c r="D9" s="10">
        <v>1.2820499999999999</v>
      </c>
      <c r="E9" s="9">
        <f t="shared" si="2"/>
        <v>101.74999999999999</v>
      </c>
      <c r="F9" s="9">
        <f t="shared" si="1"/>
        <v>2.2049999999999903E-2</v>
      </c>
    </row>
    <row r="10" spans="1:6">
      <c r="A10" s="7">
        <v>1030225001</v>
      </c>
      <c r="B10" s="8" t="s">
        <v>282</v>
      </c>
      <c r="C10" s="9">
        <v>195.51</v>
      </c>
      <c r="D10" s="10">
        <v>197.62513999999999</v>
      </c>
      <c r="E10" s="9">
        <f t="shared" si="2"/>
        <v>101.0818577054882</v>
      </c>
      <c r="F10" s="9">
        <f t="shared" si="1"/>
        <v>2.1151399999999967</v>
      </c>
    </row>
    <row r="11" spans="1:6">
      <c r="A11" s="7">
        <v>1030226001</v>
      </c>
      <c r="B11" s="8" t="s">
        <v>291</v>
      </c>
      <c r="C11" s="9">
        <v>0</v>
      </c>
      <c r="D11" s="10">
        <v>-30.135000000000002</v>
      </c>
      <c r="E11" s="9" t="e">
        <f t="shared" si="2"/>
        <v>#DIV/0!</v>
      </c>
      <c r="F11" s="9">
        <f t="shared" si="1"/>
        <v>-30.135000000000002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82.355969999999999</v>
      </c>
      <c r="E12" s="5">
        <f t="shared" si="0"/>
        <v>126.70149230769229</v>
      </c>
      <c r="F12" s="5">
        <f t="shared" si="1"/>
        <v>17.355969999999999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82.355969999999999</v>
      </c>
      <c r="E13" s="9">
        <f t="shared" si="0"/>
        <v>126.70149230769229</v>
      </c>
      <c r="F13" s="9">
        <f t="shared" si="1"/>
        <v>17.355969999999999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501.87436000000002</v>
      </c>
      <c r="E14" s="9">
        <f t="shared" si="0"/>
        <v>93.808291588785053</v>
      </c>
      <c r="F14" s="9">
        <f t="shared" si="1"/>
        <v>-33.125639999999976</v>
      </c>
    </row>
    <row r="15" spans="1:6" s="6" customFormat="1" ht="15.75" customHeight="1">
      <c r="A15" s="7">
        <v>1060100000</v>
      </c>
      <c r="B15" s="11" t="s">
        <v>9</v>
      </c>
      <c r="C15" s="278">
        <v>75</v>
      </c>
      <c r="D15" s="10">
        <v>79.407480000000007</v>
      </c>
      <c r="E15" s="9">
        <f>SUM(D15/C15*100)</f>
        <v>105.87664000000001</v>
      </c>
      <c r="F15" s="9">
        <f>SUM(D15-C14)</f>
        <v>-455.59251999999998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422.46688</v>
      </c>
      <c r="E16" s="9">
        <f t="shared" si="0"/>
        <v>91.840626086956519</v>
      </c>
      <c r="F16" s="9">
        <f t="shared" si="1"/>
        <v>-37.533119999999997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8.9</v>
      </c>
      <c r="E17" s="5">
        <f t="shared" si="0"/>
        <v>89</v>
      </c>
      <c r="F17" s="5">
        <f t="shared" si="1"/>
        <v>-1.0999999999999996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8.9</v>
      </c>
      <c r="E18" s="9">
        <f t="shared" si="0"/>
        <v>89</v>
      </c>
      <c r="F18" s="9">
        <f t="shared" si="1"/>
        <v>-1.0999999999999996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107</v>
      </c>
      <c r="D25" s="5">
        <f>D26+D29+D31+D37-D34</f>
        <v>68.986440000000002</v>
      </c>
      <c r="E25" s="5">
        <f t="shared" si="0"/>
        <v>64.473308411214958</v>
      </c>
      <c r="F25" s="5">
        <f t="shared" si="1"/>
        <v>-38.013559999999998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33.747</v>
      </c>
      <c r="E26" s="5">
        <f t="shared" si="0"/>
        <v>41.154878048780489</v>
      </c>
      <c r="F26" s="5">
        <f t="shared" si="1"/>
        <v>-48.253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33.747</v>
      </c>
      <c r="E27" s="9">
        <f t="shared" si="0"/>
        <v>42.183749999999996</v>
      </c>
      <c r="F27" s="9">
        <f t="shared" si="1"/>
        <v>-46.253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25</v>
      </c>
      <c r="D29" s="5">
        <f>D30</f>
        <v>35.240600000000001</v>
      </c>
      <c r="E29" s="5">
        <f t="shared" si="0"/>
        <v>140.9624</v>
      </c>
      <c r="F29" s="5">
        <f t="shared" si="1"/>
        <v>10.240600000000001</v>
      </c>
    </row>
    <row r="30" spans="1:6" ht="17.25" customHeight="1">
      <c r="A30" s="7">
        <v>1130206005</v>
      </c>
      <c r="B30" s="8" t="s">
        <v>224</v>
      </c>
      <c r="C30" s="9">
        <v>25</v>
      </c>
      <c r="D30" s="10">
        <v>35.240600000000001</v>
      </c>
      <c r="E30" s="9">
        <f t="shared" si="0"/>
        <v>140.9624</v>
      </c>
      <c r="F30" s="9">
        <f t="shared" si="1"/>
        <v>10.240600000000001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f>-1.16/1000</f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1126.1199999999999</v>
      </c>
      <c r="D40" s="127">
        <f>D4+D25</f>
        <v>1040.9037499999999</v>
      </c>
      <c r="E40" s="5">
        <f t="shared" si="0"/>
        <v>92.432755834191738</v>
      </c>
      <c r="F40" s="5">
        <f t="shared" si="1"/>
        <v>-85.216249999999945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2602.288</v>
      </c>
      <c r="D41" s="343">
        <f>D42+D44+D45+D46+D47+D48+D43+D50</f>
        <v>2054.5971</v>
      </c>
      <c r="E41" s="5">
        <f t="shared" si="0"/>
        <v>78.953486316656722</v>
      </c>
      <c r="F41" s="5">
        <f t="shared" si="1"/>
        <v>-547.69090000000006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1793.086</v>
      </c>
      <c r="E42" s="9">
        <f t="shared" si="0"/>
        <v>94.043152880189112</v>
      </c>
      <c r="F42" s="9">
        <f t="shared" si="1"/>
        <v>-113.577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88.734999999999999</v>
      </c>
      <c r="D45" s="251">
        <v>86.4131</v>
      </c>
      <c r="E45" s="9">
        <f t="shared" si="0"/>
        <v>97.383332394207471</v>
      </c>
      <c r="F45" s="9">
        <f t="shared" si="1"/>
        <v>-2.3218999999999994</v>
      </c>
    </row>
    <row r="46" spans="1:7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389">
        <f>C40+C41</f>
        <v>3728.4079999999999</v>
      </c>
      <c r="D51" s="390">
        <f>D40+D41</f>
        <v>3095.5008499999999</v>
      </c>
      <c r="E51" s="93">
        <f t="shared" si="0"/>
        <v>83.024734685688912</v>
      </c>
      <c r="F51" s="93">
        <f t="shared" si="1"/>
        <v>-632.90715</v>
      </c>
      <c r="G51" s="293"/>
    </row>
    <row r="52" spans="1:7" s="6" customFormat="1">
      <c r="A52" s="3"/>
      <c r="B52" s="21" t="s">
        <v>321</v>
      </c>
      <c r="C52" s="389">
        <f>C51-C97</f>
        <v>-73.666529999999966</v>
      </c>
      <c r="D52" s="389">
        <f>D51-D97</f>
        <v>259.12038999999959</v>
      </c>
      <c r="E52" s="22"/>
      <c r="F52" s="22"/>
    </row>
    <row r="53" spans="1:7">
      <c r="A53" s="23"/>
      <c r="B53" s="24"/>
      <c r="C53" s="250"/>
      <c r="D53" s="250"/>
      <c r="E53" s="26"/>
      <c r="F53" s="27"/>
    </row>
    <row r="54" spans="1:7" ht="46.5" customHeight="1">
      <c r="A54" s="28" t="s">
        <v>1</v>
      </c>
      <c r="B54" s="28" t="s">
        <v>29</v>
      </c>
      <c r="C54" s="243" t="s">
        <v>346</v>
      </c>
      <c r="D54" s="244" t="s">
        <v>417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1306.2660000000001</v>
      </c>
      <c r="D56" s="33">
        <f>D57+D58+D59+D60+D61+D63+D62</f>
        <v>1118.0492800000002</v>
      </c>
      <c r="E56" s="34">
        <f>SUM(D56/C56*100)</f>
        <v>85.591240987670204</v>
      </c>
      <c r="F56" s="34">
        <f>SUM(D56-C56)</f>
        <v>-188.2167199999999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1286.3630000000001</v>
      </c>
      <c r="D58" s="37">
        <v>1103.2017800000001</v>
      </c>
      <c r="E58" s="38">
        <f t="shared" ref="E58:E97" si="3">SUM(D58/C58*100)</f>
        <v>85.761311542698294</v>
      </c>
      <c r="F58" s="38">
        <f t="shared" ref="F58:F97" si="4">SUM(D58-C58)</f>
        <v>-183.16121999999996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14.903</v>
      </c>
      <c r="D63" s="37">
        <v>14.8475</v>
      </c>
      <c r="E63" s="38">
        <f t="shared" si="3"/>
        <v>99.627591760048304</v>
      </c>
      <c r="F63" s="38">
        <f t="shared" si="4"/>
        <v>-5.5500000000000327E-2</v>
      </c>
    </row>
    <row r="64" spans="1:7" s="6" customFormat="1">
      <c r="A64" s="41" t="s">
        <v>46</v>
      </c>
      <c r="B64" s="42" t="s">
        <v>47</v>
      </c>
      <c r="C64" s="32">
        <f>C65</f>
        <v>85.376000000000005</v>
      </c>
      <c r="D64" s="32">
        <f>D65</f>
        <v>70.594639999999998</v>
      </c>
      <c r="E64" s="34">
        <f t="shared" si="3"/>
        <v>82.68675037481259</v>
      </c>
      <c r="F64" s="34">
        <f t="shared" si="4"/>
        <v>-14.781360000000006</v>
      </c>
    </row>
    <row r="65" spans="1:7">
      <c r="A65" s="43" t="s">
        <v>48</v>
      </c>
      <c r="B65" s="44" t="s">
        <v>49</v>
      </c>
      <c r="C65" s="37">
        <v>85.376000000000005</v>
      </c>
      <c r="D65" s="37">
        <v>70.594639999999998</v>
      </c>
      <c r="E65" s="38">
        <f t="shared" si="3"/>
        <v>82.68675037481259</v>
      </c>
      <c r="F65" s="38">
        <f t="shared" si="4"/>
        <v>-14.781360000000006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4.25</v>
      </c>
      <c r="D66" s="32">
        <f>D69+D70</f>
        <v>2.0499999999999998</v>
      </c>
      <c r="E66" s="34">
        <f t="shared" si="3"/>
        <v>48.235294117647051</v>
      </c>
      <c r="F66" s="34">
        <f t="shared" si="4"/>
        <v>-2.2000000000000002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0</v>
      </c>
      <c r="D69" s="37">
        <v>0</v>
      </c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2.0499999999999998</v>
      </c>
      <c r="E70" s="38">
        <f t="shared" si="3"/>
        <v>48.235294117647051</v>
      </c>
      <c r="F70" s="38">
        <f t="shared" si="4"/>
        <v>-2.2000000000000002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1005.73253</v>
      </c>
      <c r="D71" s="48">
        <f>SUM(D72:D75)</f>
        <v>439.53649999999999</v>
      </c>
      <c r="E71" s="34">
        <f t="shared" si="3"/>
        <v>43.703120550351493</v>
      </c>
      <c r="F71" s="34">
        <f t="shared" si="4"/>
        <v>-566.19603000000006</v>
      </c>
    </row>
    <row r="72" spans="1:7" ht="15.75" customHeight="1">
      <c r="A72" s="35" t="s">
        <v>60</v>
      </c>
      <c r="B72" s="39" t="s">
        <v>61</v>
      </c>
      <c r="C72" s="49">
        <v>8.75</v>
      </c>
      <c r="D72" s="37">
        <v>3.75</v>
      </c>
      <c r="E72" s="38">
        <f t="shared" si="3"/>
        <v>42.857142857142854</v>
      </c>
      <c r="F72" s="38">
        <f t="shared" si="4"/>
        <v>-5</v>
      </c>
    </row>
    <row r="73" spans="1:7" s="6" customFormat="1" ht="19.5" customHeight="1">
      <c r="A73" s="35" t="s">
        <v>62</v>
      </c>
      <c r="B73" s="39" t="s">
        <v>63</v>
      </c>
      <c r="C73" s="49">
        <v>101.26900000000001</v>
      </c>
      <c r="D73" s="37">
        <v>89.928539999999998</v>
      </c>
      <c r="E73" s="38">
        <f t="shared" si="3"/>
        <v>88.801647098322277</v>
      </c>
      <c r="F73" s="38">
        <f t="shared" si="4"/>
        <v>-11.340460000000007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295.18475999999998</v>
      </c>
      <c r="E74" s="38">
        <f t="shared" si="3"/>
        <v>34.935111603383923</v>
      </c>
      <c r="F74" s="38">
        <f t="shared" si="4"/>
        <v>-549.76677000000007</v>
      </c>
    </row>
    <row r="75" spans="1:7" ht="16.5" customHeight="1">
      <c r="A75" s="35" t="s">
        <v>66</v>
      </c>
      <c r="B75" s="39" t="s">
        <v>67</v>
      </c>
      <c r="C75" s="49">
        <v>50.762</v>
      </c>
      <c r="D75" s="37">
        <v>50.673200000000001</v>
      </c>
      <c r="E75" s="38">
        <f t="shared" si="3"/>
        <v>99.825065994247666</v>
      </c>
      <c r="F75" s="38">
        <f t="shared" si="4"/>
        <v>-8.8799999999999102E-2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525.65</v>
      </c>
      <c r="D76" s="32">
        <f>SUM(D77:D79)</f>
        <v>404.96303999999998</v>
      </c>
      <c r="E76" s="34">
        <f t="shared" si="3"/>
        <v>77.040433748692095</v>
      </c>
      <c r="F76" s="34">
        <f t="shared" si="4"/>
        <v>-120.68696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525.65</v>
      </c>
      <c r="D79" s="37">
        <v>404.96303999999998</v>
      </c>
      <c r="E79" s="38">
        <f t="shared" si="3"/>
        <v>77.040433748692095</v>
      </c>
      <c r="F79" s="38">
        <f t="shared" si="4"/>
        <v>-120.68696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800.47199999999998</v>
      </c>
      <c r="E80" s="34">
        <f t="shared" si="3"/>
        <v>91.713107241063256</v>
      </c>
      <c r="F80" s="34">
        <f t="shared" si="4"/>
        <v>-72.327999999999975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800.47199999999998</v>
      </c>
      <c r="E81" s="38">
        <f t="shared" si="3"/>
        <v>91.713107241063256</v>
      </c>
      <c r="F81" s="38">
        <f t="shared" si="4"/>
        <v>-72.327999999999975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93">
        <f>C56+C64+C66+C71+C76+C80+C82+C87+C93</f>
        <v>3802.0745299999999</v>
      </c>
      <c r="D97" s="393">
        <f>D56+D64+D66+D71+D76+D80+D82+D87+D93</f>
        <v>2836.3804600000003</v>
      </c>
      <c r="E97" s="34">
        <f t="shared" si="3"/>
        <v>74.600864281321705</v>
      </c>
      <c r="F97" s="34">
        <f t="shared" si="4"/>
        <v>-965.69406999999956</v>
      </c>
      <c r="G97" s="293"/>
    </row>
    <row r="98" spans="1:7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  <c r="E99" s="385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3" spans="1:7" ht="5.25" customHeight="1"/>
  </sheetData>
  <customSheetViews>
    <customSheetView guid="{AEB392BF-DA26-444D-A19F-E51C57137A4D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B30CE22D-C12F-4E12-8BB9-3AAE0A6991CC}" scale="70" showPageBreaks="1" hiddenRows="1" view="pageBreakPreview" topLeftCell="A16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4" t="s">
        <v>432</v>
      </c>
      <c r="B1" s="514"/>
      <c r="C1" s="514"/>
      <c r="D1" s="514"/>
      <c r="E1" s="514"/>
      <c r="F1" s="514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612.12685999999997</v>
      </c>
      <c r="E4" s="5">
        <f>SUM(D4/C4*100)</f>
        <v>84.111088820490266</v>
      </c>
      <c r="F4" s="5">
        <f>SUM(D4-C4)</f>
        <v>-115.63314000000003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32.898099999999999</v>
      </c>
      <c r="E5" s="5">
        <f t="shared" ref="E5:E51" si="0">SUM(D5/C5*100)</f>
        <v>98.497305389221552</v>
      </c>
      <c r="F5" s="5">
        <f t="shared" ref="F5:F51" si="1">SUM(D5-C5)</f>
        <v>-0.50189999999999912</v>
      </c>
    </row>
    <row r="6" spans="1:6">
      <c r="A6" s="7">
        <v>1010200001</v>
      </c>
      <c r="B6" s="8" t="s">
        <v>229</v>
      </c>
      <c r="C6" s="9">
        <v>33.4</v>
      </c>
      <c r="D6" s="10">
        <v>32.898099999999999</v>
      </c>
      <c r="E6" s="9">
        <f t="shared" ref="E6:E11" si="2">SUM(D6/C6*100)</f>
        <v>98.497305389221552</v>
      </c>
      <c r="F6" s="9">
        <f t="shared" si="1"/>
        <v>-0.50189999999999912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312.11384000000004</v>
      </c>
      <c r="E7" s="5">
        <f t="shared" si="2"/>
        <v>96.821516317160956</v>
      </c>
      <c r="F7" s="5">
        <f t="shared" si="1"/>
        <v>-10.246159999999975</v>
      </c>
    </row>
    <row r="8" spans="1:6">
      <c r="A8" s="7">
        <v>1030223001</v>
      </c>
      <c r="B8" s="8" t="s">
        <v>283</v>
      </c>
      <c r="C8" s="9">
        <v>120.24</v>
      </c>
      <c r="D8" s="10">
        <v>138.74923999999999</v>
      </c>
      <c r="E8" s="9">
        <f t="shared" si="2"/>
        <v>115.39357950765137</v>
      </c>
      <c r="F8" s="9">
        <f t="shared" si="1"/>
        <v>18.509239999999991</v>
      </c>
    </row>
    <row r="9" spans="1:6">
      <c r="A9" s="7">
        <v>1030224001</v>
      </c>
      <c r="B9" s="8" t="s">
        <v>289</v>
      </c>
      <c r="C9" s="9">
        <v>1.29</v>
      </c>
      <c r="D9" s="10">
        <v>1.3169500000000001</v>
      </c>
      <c r="E9" s="9">
        <f t="shared" si="2"/>
        <v>102.0891472868217</v>
      </c>
      <c r="F9" s="9">
        <f t="shared" si="1"/>
        <v>2.6950000000000029E-2</v>
      </c>
    </row>
    <row r="10" spans="1:6">
      <c r="A10" s="7">
        <v>1030225001</v>
      </c>
      <c r="B10" s="8" t="s">
        <v>282</v>
      </c>
      <c r="C10" s="9">
        <v>200.83</v>
      </c>
      <c r="D10" s="10">
        <v>203.00273000000001</v>
      </c>
      <c r="E10" s="9">
        <f t="shared" si="2"/>
        <v>101.08187521784593</v>
      </c>
      <c r="F10" s="9">
        <f t="shared" si="1"/>
        <v>2.1727300000000014</v>
      </c>
    </row>
    <row r="11" spans="1:6">
      <c r="A11" s="7">
        <v>1030226001</v>
      </c>
      <c r="B11" s="8" t="s">
        <v>291</v>
      </c>
      <c r="C11" s="9">
        <v>0</v>
      </c>
      <c r="D11" s="10">
        <v>-30.955079999999999</v>
      </c>
      <c r="E11" s="9" t="e">
        <f t="shared" si="2"/>
        <v>#DIV/0!</v>
      </c>
      <c r="F11" s="9">
        <f t="shared" si="1"/>
        <v>-30.955079999999999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9.2697500000000002</v>
      </c>
      <c r="E12" s="5">
        <f t="shared" si="0"/>
        <v>92.697500000000005</v>
      </c>
      <c r="F12" s="5">
        <f t="shared" si="1"/>
        <v>-0.73024999999999984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9.2697500000000002</v>
      </c>
      <c r="E13" s="9">
        <f t="shared" si="0"/>
        <v>92.697500000000005</v>
      </c>
      <c r="F13" s="9">
        <f t="shared" si="1"/>
        <v>-0.73024999999999984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256.44516999999996</v>
      </c>
      <c r="E14" s="5">
        <f t="shared" si="0"/>
        <v>72.238076056338016</v>
      </c>
      <c r="F14" s="5">
        <f t="shared" si="1"/>
        <v>-98.554830000000038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32.592329999999997</v>
      </c>
      <c r="E15" s="9">
        <f t="shared" si="0"/>
        <v>81.480824999999996</v>
      </c>
      <c r="F15" s="9">
        <f>SUM(D15-C15)</f>
        <v>-7.4076700000000031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223.85283999999999</v>
      </c>
      <c r="E16" s="9">
        <f t="shared" si="0"/>
        <v>71.064393650793647</v>
      </c>
      <c r="F16" s="9">
        <f t="shared" si="1"/>
        <v>-91.147160000000014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1.4</v>
      </c>
      <c r="E17" s="5">
        <f t="shared" si="0"/>
        <v>20</v>
      </c>
      <c r="F17" s="5">
        <f t="shared" si="1"/>
        <v>-5.6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1.4</v>
      </c>
      <c r="E18" s="9">
        <f t="shared" si="0"/>
        <v>20</v>
      </c>
      <c r="F18" s="9">
        <f t="shared" si="1"/>
        <v>-5.6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57.93112</v>
      </c>
      <c r="E25" s="5">
        <f t="shared" si="0"/>
        <v>31.830285714285715</v>
      </c>
      <c r="F25" s="5">
        <f t="shared" si="1"/>
        <v>-124.06888000000001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30.357599999999998</v>
      </c>
      <c r="E26" s="5">
        <f t="shared" si="0"/>
        <v>22.998181818181816</v>
      </c>
      <c r="F26" s="5">
        <f t="shared" si="1"/>
        <v>-101.64240000000001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23.843599999999999</v>
      </c>
      <c r="E28" s="9">
        <f t="shared" si="0"/>
        <v>140.25647058823529</v>
      </c>
      <c r="F28" s="9">
        <f t="shared" si="1"/>
        <v>6.8435999999999986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27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6.1783200000000003</v>
      </c>
      <c r="E37" s="5" t="e">
        <f t="shared" si="0"/>
        <v>#DIV/0!</v>
      </c>
      <c r="F37" s="5">
        <f t="shared" si="1"/>
        <v>6.1783200000000003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6.1783200000000003</v>
      </c>
      <c r="E39" s="9" t="e">
        <f t="shared" si="0"/>
        <v>#DIV/0!</v>
      </c>
      <c r="F39" s="9">
        <f t="shared" si="1"/>
        <v>6.1783200000000003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423">
        <f>D4+D25</f>
        <v>670.05797999999993</v>
      </c>
      <c r="E40" s="5">
        <f t="shared" si="0"/>
        <v>73.652169803024975</v>
      </c>
      <c r="F40" s="5">
        <f t="shared" si="1"/>
        <v>-239.70202000000006</v>
      </c>
    </row>
    <row r="41" spans="1:7" s="6" customFormat="1">
      <c r="A41" s="3">
        <v>2000000000</v>
      </c>
      <c r="B41" s="4" t="s">
        <v>20</v>
      </c>
      <c r="C41" s="5">
        <f>C42+C43+C44+C45+C46+C47+C50</f>
        <v>2833.09</v>
      </c>
      <c r="D41" s="343">
        <f>D42+D43+D44+D45+D46+D47+D50</f>
        <v>2323.6050999999998</v>
      </c>
      <c r="E41" s="5">
        <f t="shared" si="0"/>
        <v>82.016635546346905</v>
      </c>
      <c r="F41" s="5">
        <f t="shared" si="1"/>
        <v>-509.48490000000038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1171.3679999999999</v>
      </c>
      <c r="E42" s="9">
        <f t="shared" si="0"/>
        <v>94.179130157923581</v>
      </c>
      <c r="F42" s="9">
        <f t="shared" si="1"/>
        <v>-72.398000000000138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400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1004.188</v>
      </c>
      <c r="D44" s="10">
        <v>568.72299999999996</v>
      </c>
      <c r="E44" s="9">
        <f t="shared" si="0"/>
        <v>56.635112150314484</v>
      </c>
      <c r="F44" s="9">
        <f t="shared" si="1"/>
        <v>-435.46500000000003</v>
      </c>
    </row>
    <row r="45" spans="1:7" ht="15" customHeight="1">
      <c r="A45" s="16">
        <v>2023000000</v>
      </c>
      <c r="B45" s="17" t="s">
        <v>23</v>
      </c>
      <c r="C45" s="12">
        <v>88.036000000000001</v>
      </c>
      <c r="D45" s="251">
        <v>86.414100000000005</v>
      </c>
      <c r="E45" s="9">
        <f t="shared" si="0"/>
        <v>98.157685492298612</v>
      </c>
      <c r="F45" s="9">
        <f t="shared" si="1"/>
        <v>-1.6218999999999966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2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394">
        <f>C40+C41</f>
        <v>3742.8500000000004</v>
      </c>
      <c r="D51" s="395">
        <f>D40+D41</f>
        <v>2993.6630799999998</v>
      </c>
      <c r="E51" s="93">
        <f t="shared" si="0"/>
        <v>79.983517373124741</v>
      </c>
      <c r="F51" s="93">
        <f t="shared" si="1"/>
        <v>-749.18692000000055</v>
      </c>
      <c r="G51" s="94"/>
    </row>
    <row r="52" spans="1:7" s="6" customFormat="1" ht="16.5" customHeight="1">
      <c r="A52" s="3"/>
      <c r="B52" s="21" t="s">
        <v>322</v>
      </c>
      <c r="C52" s="394">
        <f>C51-C97</f>
        <v>53.393470000000889</v>
      </c>
      <c r="D52" s="394">
        <f>D51-D97</f>
        <v>156.27439999999933</v>
      </c>
      <c r="E52" s="281"/>
      <c r="F52" s="281"/>
    </row>
    <row r="53" spans="1:7">
      <c r="A53" s="23"/>
      <c r="B53" s="24"/>
      <c r="C53" s="326"/>
      <c r="D53" s="326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417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978.56824000000006</v>
      </c>
      <c r="E56" s="34">
        <f>SUM(D56/C56*100)</f>
        <v>85.857356874536379</v>
      </c>
      <c r="F56" s="34">
        <f>SUM(D56-C56)</f>
        <v>-161.19225999999981</v>
      </c>
    </row>
    <row r="57" spans="1:7" s="6" customFormat="1" ht="15.75" hidden="1" customHeight="1">
      <c r="A57" s="35" t="s">
        <v>32</v>
      </c>
      <c r="B57" s="36" t="s">
        <v>33</v>
      </c>
      <c r="C57" s="282"/>
      <c r="D57" s="282"/>
      <c r="E57" s="38"/>
      <c r="F57" s="38"/>
    </row>
    <row r="58" spans="1:7" ht="17.25" customHeight="1">
      <c r="A58" s="35" t="s">
        <v>34</v>
      </c>
      <c r="B58" s="39" t="s">
        <v>35</v>
      </c>
      <c r="C58" s="282">
        <v>1100.9659999999999</v>
      </c>
      <c r="D58" s="282">
        <v>940.77373999999998</v>
      </c>
      <c r="E58" s="38">
        <f t="shared" ref="E58:E97" si="3">SUM(D58/C58*100)</f>
        <v>85.449844954340108</v>
      </c>
      <c r="F58" s="38">
        <f t="shared" ref="F58:F97" si="4">SUM(D58-C58)</f>
        <v>-160.19225999999992</v>
      </c>
    </row>
    <row r="59" spans="1:7" ht="17.25" hidden="1" customHeight="1">
      <c r="A59" s="35" t="s">
        <v>36</v>
      </c>
      <c r="B59" s="39" t="s">
        <v>37</v>
      </c>
      <c r="C59" s="282"/>
      <c r="D59" s="282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2"/>
      <c r="D60" s="282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2">
        <v>32.152000000000001</v>
      </c>
      <c r="D61" s="282">
        <v>32.152000000000001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3">
        <v>1</v>
      </c>
      <c r="D62" s="283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2">
        <v>5.6425000000000001</v>
      </c>
      <c r="D63" s="282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85.376999999999995</v>
      </c>
      <c r="D64" s="33">
        <f>D65</f>
        <v>70.173770000000005</v>
      </c>
      <c r="E64" s="34">
        <f t="shared" si="3"/>
        <v>82.192827108003343</v>
      </c>
      <c r="F64" s="34">
        <f t="shared" si="4"/>
        <v>-15.203229999999991</v>
      </c>
    </row>
    <row r="65" spans="1:9">
      <c r="A65" s="43" t="s">
        <v>48</v>
      </c>
      <c r="B65" s="44" t="s">
        <v>49</v>
      </c>
      <c r="C65" s="282">
        <v>85.376999999999995</v>
      </c>
      <c r="D65" s="282">
        <v>70.173770000000005</v>
      </c>
      <c r="E65" s="38">
        <f t="shared" si="3"/>
        <v>82.192827108003343</v>
      </c>
      <c r="F65" s="38">
        <f t="shared" si="4"/>
        <v>-15.203229999999991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8</v>
      </c>
      <c r="D66" s="33">
        <f>D69+D70</f>
        <v>7.931</v>
      </c>
      <c r="E66" s="34">
        <f t="shared" si="3"/>
        <v>99.137500000000003</v>
      </c>
      <c r="F66" s="34">
        <f t="shared" si="4"/>
        <v>-6.899999999999995E-2</v>
      </c>
    </row>
    <row r="67" spans="1:9" ht="1.5" hidden="1" customHeight="1">
      <c r="A67" s="35" t="s">
        <v>52</v>
      </c>
      <c r="B67" s="39" t="s">
        <v>53</v>
      </c>
      <c r="C67" s="28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4">
        <v>0</v>
      </c>
      <c r="D69" s="33">
        <v>0</v>
      </c>
      <c r="E69" s="34" t="e">
        <f t="shared" si="3"/>
        <v>#DIV/0!</v>
      </c>
      <c r="F69" s="34">
        <f t="shared" si="4"/>
        <v>0</v>
      </c>
    </row>
    <row r="70" spans="1:9">
      <c r="A70" s="46" t="s">
        <v>219</v>
      </c>
      <c r="B70" s="47" t="s">
        <v>220</v>
      </c>
      <c r="C70" s="282">
        <v>8</v>
      </c>
      <c r="D70" s="282">
        <v>7.931</v>
      </c>
      <c r="E70" s="34">
        <f t="shared" si="3"/>
        <v>99.137500000000003</v>
      </c>
      <c r="F70" s="34">
        <f t="shared" si="4"/>
        <v>-6.899999999999995E-2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1549.45453</v>
      </c>
      <c r="D71" s="33">
        <f>SUM(D72:D75)</f>
        <v>956.91382999999996</v>
      </c>
      <c r="E71" s="34">
        <f t="shared" si="3"/>
        <v>61.758109803970818</v>
      </c>
      <c r="F71" s="34">
        <f t="shared" si="4"/>
        <v>-592.54070000000002</v>
      </c>
      <c r="I71" s="108"/>
    </row>
    <row r="72" spans="1:9" ht="15.75" customHeight="1">
      <c r="A72" s="35" t="s">
        <v>60</v>
      </c>
      <c r="B72" s="39" t="s">
        <v>61</v>
      </c>
      <c r="C72" s="282">
        <v>7.5</v>
      </c>
      <c r="D72" s="282">
        <v>3.75</v>
      </c>
      <c r="E72" s="38">
        <f t="shared" si="3"/>
        <v>50</v>
      </c>
      <c r="F72" s="38">
        <f t="shared" si="4"/>
        <v>-3.75</v>
      </c>
    </row>
    <row r="73" spans="1:9" s="6" customFormat="1" ht="19.5" customHeight="1">
      <c r="A73" s="35" t="s">
        <v>62</v>
      </c>
      <c r="B73" s="39" t="s">
        <v>63</v>
      </c>
      <c r="C73" s="282">
        <v>60</v>
      </c>
      <c r="D73" s="282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2">
        <v>1409.15453</v>
      </c>
      <c r="D74" s="282">
        <v>923.58659999999998</v>
      </c>
      <c r="E74" s="38">
        <f t="shared" si="3"/>
        <v>65.541896246112913</v>
      </c>
      <c r="F74" s="38">
        <f t="shared" si="4"/>
        <v>-485.56793000000005</v>
      </c>
    </row>
    <row r="75" spans="1:9">
      <c r="A75" s="35" t="s">
        <v>66</v>
      </c>
      <c r="B75" s="39" t="s">
        <v>67</v>
      </c>
      <c r="C75" s="282">
        <v>72.8</v>
      </c>
      <c r="D75" s="282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208.36099999999999</v>
      </c>
      <c r="D76" s="33">
        <f>SUM(D77:D79)</f>
        <v>125.30083999999999</v>
      </c>
      <c r="E76" s="34">
        <f t="shared" si="3"/>
        <v>60.136417083811267</v>
      </c>
      <c r="F76" s="34">
        <f t="shared" si="4"/>
        <v>-83.060159999999996</v>
      </c>
    </row>
    <row r="77" spans="1:9" ht="15" hidden="1" customHeight="1">
      <c r="A77" s="35" t="s">
        <v>70</v>
      </c>
      <c r="B77" s="51" t="s">
        <v>71</v>
      </c>
      <c r="C77" s="282"/>
      <c r="D77" s="282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2"/>
      <c r="D78" s="28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2">
        <v>208.36099999999999</v>
      </c>
      <c r="D79" s="282">
        <v>125.30083999999999</v>
      </c>
      <c r="E79" s="38">
        <f t="shared" si="3"/>
        <v>60.136417083811267</v>
      </c>
      <c r="F79" s="38">
        <f t="shared" si="4"/>
        <v>-83.060159999999996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689.50300000000004</v>
      </c>
      <c r="E80" s="34">
        <f t="shared" si="3"/>
        <v>99.999927484051938</v>
      </c>
      <c r="F80" s="34">
        <f t="shared" si="4"/>
        <v>-4.9999999998817657E-4</v>
      </c>
    </row>
    <row r="81" spans="1:12" ht="15.75" customHeight="1">
      <c r="A81" s="35" t="s">
        <v>88</v>
      </c>
      <c r="B81" s="39" t="s">
        <v>234</v>
      </c>
      <c r="C81" s="282">
        <v>689.50350000000003</v>
      </c>
      <c r="D81" s="282">
        <v>689.50300000000004</v>
      </c>
      <c r="E81" s="38">
        <f t="shared" si="3"/>
        <v>99.999927484051938</v>
      </c>
      <c r="F81" s="38">
        <f t="shared" si="4"/>
        <v>-4.9999999998817657E-4</v>
      </c>
      <c r="L81" s="107"/>
    </row>
    <row r="82" spans="1:12" s="6" customFormat="1" hidden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2"/>
      <c r="D83" s="282"/>
      <c r="E83" s="353" t="e">
        <f>SUM(D83/C83*100)</f>
        <v>#DIV/0!</v>
      </c>
      <c r="F83" s="353">
        <f>SUM(D83-C83)</f>
        <v>0</v>
      </c>
    </row>
    <row r="84" spans="1:12" hidden="1">
      <c r="A84" s="53">
        <v>1003</v>
      </c>
      <c r="B84" s="54" t="s">
        <v>91</v>
      </c>
      <c r="C84" s="282"/>
      <c r="D84" s="282"/>
      <c r="E84" s="353" t="e">
        <f>SUM(D84/C84*100)</f>
        <v>#DIV/0!</v>
      </c>
      <c r="F84" s="353">
        <f>SUM(D84-C84)</f>
        <v>0</v>
      </c>
    </row>
    <row r="85" spans="1:12" hidden="1">
      <c r="A85" s="53">
        <v>1004</v>
      </c>
      <c r="B85" s="54" t="s">
        <v>92</v>
      </c>
      <c r="C85" s="282"/>
      <c r="D85" s="285"/>
      <c r="E85" s="353" t="e">
        <f>SUM(D85/C85*100)</f>
        <v>#DIV/0!</v>
      </c>
      <c r="F85" s="353">
        <f>SUM(D85-C85)</f>
        <v>0</v>
      </c>
    </row>
    <row r="86" spans="1:12" ht="15" hidden="1" customHeight="1">
      <c r="A86" s="35" t="s">
        <v>93</v>
      </c>
      <c r="B86" s="39" t="s">
        <v>94</v>
      </c>
      <c r="C86" s="282">
        <v>5</v>
      </c>
      <c r="D86" s="282">
        <v>5</v>
      </c>
      <c r="E86" s="353">
        <f>SUM(D86/C86*100)</f>
        <v>100</v>
      </c>
      <c r="F86" s="353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2">
        <v>4</v>
      </c>
      <c r="D88" s="282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2"/>
      <c r="D89" s="282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2"/>
      <c r="D90" s="282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2"/>
      <c r="D91" s="282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2"/>
      <c r="D92" s="282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2"/>
      <c r="D94" s="282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2"/>
      <c r="D95" s="282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2"/>
      <c r="D96" s="282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96">
        <f>C56+C64+C66+C71+C76+C80+C87+C82</f>
        <v>3689.4565299999995</v>
      </c>
      <c r="D97" s="396">
        <f>D56+D64+D66+D71+D76+D80+D87+D82</f>
        <v>2837.3886800000005</v>
      </c>
      <c r="E97" s="34">
        <f t="shared" si="3"/>
        <v>76.905328926588567</v>
      </c>
      <c r="F97" s="34">
        <f t="shared" si="4"/>
        <v>-852.067849999999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AEB392BF-DA26-444D-A19F-E51C57137A4D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hiddenRows="1" view="pageBreakPreview" topLeftCell="A34">
      <selection activeCell="D88" sqref="D88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opLeftCell="A25" zoomScaleNormal="100" zoomScaleSheetLayoutView="70" workbookViewId="0">
      <selection activeCell="D45" sqref="D45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433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2425.41</v>
      </c>
      <c r="D4" s="5">
        <f>D5+D12+D14+D17+D7</f>
        <v>2382.6573100000001</v>
      </c>
      <c r="E4" s="5">
        <f>SUM(D4/C4*100)</f>
        <v>98.237300497647823</v>
      </c>
      <c r="F4" s="5">
        <f>SUM(D4-C4)</f>
        <v>-42.752689999999802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109.05306</v>
      </c>
      <c r="E5" s="5">
        <f t="shared" ref="E5:E50" si="0">SUM(D5/C5*100)</f>
        <v>95.242847161572058</v>
      </c>
      <c r="F5" s="5">
        <f t="shared" ref="F5:F50" si="1">SUM(D5-C5)</f>
        <v>-5.4469399999999979</v>
      </c>
    </row>
    <row r="6" spans="1:6">
      <c r="A6" s="7">
        <v>1010200001</v>
      </c>
      <c r="B6" s="8" t="s">
        <v>229</v>
      </c>
      <c r="C6" s="9">
        <v>114.5</v>
      </c>
      <c r="D6" s="10">
        <v>109.05306</v>
      </c>
      <c r="E6" s="9">
        <f t="shared" ref="E6:E11" si="2">SUM(D6/C6*100)</f>
        <v>95.242847161572058</v>
      </c>
      <c r="F6" s="9">
        <f t="shared" si="1"/>
        <v>-5.4469399999999979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481.60618999999997</v>
      </c>
      <c r="E7" s="5">
        <f t="shared" si="2"/>
        <v>96.822780000402091</v>
      </c>
      <c r="F7" s="5">
        <f t="shared" si="1"/>
        <v>-15.803809999999999</v>
      </c>
    </row>
    <row r="8" spans="1:6">
      <c r="A8" s="7">
        <v>1030223001</v>
      </c>
      <c r="B8" s="8" t="s">
        <v>283</v>
      </c>
      <c r="C8" s="9">
        <v>185.53</v>
      </c>
      <c r="D8" s="10">
        <v>214.09650999999999</v>
      </c>
      <c r="E8" s="9">
        <f t="shared" si="2"/>
        <v>115.39724572845363</v>
      </c>
      <c r="F8" s="9">
        <f t="shared" si="1"/>
        <v>28.566509999999994</v>
      </c>
    </row>
    <row r="9" spans="1:6">
      <c r="A9" s="7">
        <v>1030224001</v>
      </c>
      <c r="B9" s="8" t="s">
        <v>289</v>
      </c>
      <c r="C9" s="9">
        <v>2</v>
      </c>
      <c r="D9" s="10">
        <v>2.0321500000000001</v>
      </c>
      <c r="E9" s="9">
        <f t="shared" si="2"/>
        <v>101.6075</v>
      </c>
      <c r="F9" s="9">
        <f t="shared" si="1"/>
        <v>3.2150000000000123E-2</v>
      </c>
    </row>
    <row r="10" spans="1:6">
      <c r="A10" s="7">
        <v>1030225001</v>
      </c>
      <c r="B10" s="8" t="s">
        <v>282</v>
      </c>
      <c r="C10" s="9">
        <v>309.88</v>
      </c>
      <c r="D10" s="10">
        <v>313.24257999999998</v>
      </c>
      <c r="E10" s="9">
        <f t="shared" si="2"/>
        <v>101.08512327352524</v>
      </c>
      <c r="F10" s="9">
        <f t="shared" si="1"/>
        <v>3.3625799999999799</v>
      </c>
    </row>
    <row r="11" spans="1:6">
      <c r="A11" s="7">
        <v>1030226001</v>
      </c>
      <c r="B11" s="8" t="s">
        <v>291</v>
      </c>
      <c r="C11" s="9">
        <v>0</v>
      </c>
      <c r="D11" s="10">
        <v>-47.765050000000002</v>
      </c>
      <c r="E11" s="9" t="e">
        <f t="shared" si="2"/>
        <v>#DIV/0!</v>
      </c>
      <c r="F11" s="9">
        <f t="shared" si="1"/>
        <v>-47.765050000000002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42.170999999999999</v>
      </c>
      <c r="E12" s="5">
        <f t="shared" si="0"/>
        <v>105.42750000000001</v>
      </c>
      <c r="F12" s="5">
        <f t="shared" si="1"/>
        <v>2.1709999999999994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42.170999999999999</v>
      </c>
      <c r="E13" s="9">
        <f t="shared" si="0"/>
        <v>105.42750000000001</v>
      </c>
      <c r="F13" s="9">
        <f t="shared" si="1"/>
        <v>2.1709999999999994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1741.37706</v>
      </c>
      <c r="E14" s="5">
        <f t="shared" si="0"/>
        <v>98.85762475163213</v>
      </c>
      <c r="F14" s="5">
        <f t="shared" si="1"/>
        <v>-20.122939999999971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221.18362999999999</v>
      </c>
      <c r="E15" s="9">
        <f t="shared" si="0"/>
        <v>147.45575333333335</v>
      </c>
      <c r="F15" s="9">
        <f>SUM(D15-C15)</f>
        <v>71.183629999999994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1520.19343</v>
      </c>
      <c r="E16" s="9">
        <f t="shared" si="0"/>
        <v>94.334063295066699</v>
      </c>
      <c r="F16" s="9">
        <f t="shared" si="1"/>
        <v>-91.306569999999965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8.4499999999999993</v>
      </c>
      <c r="E17" s="5">
        <f t="shared" si="0"/>
        <v>70.416666666666657</v>
      </c>
      <c r="F17" s="5">
        <f t="shared" si="1"/>
        <v>-3.5500000000000007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8.4499999999999993</v>
      </c>
      <c r="E18" s="9">
        <f t="shared" si="0"/>
        <v>70.416666666666657</v>
      </c>
      <c r="F18" s="9">
        <f t="shared" si="1"/>
        <v>-3.5500000000000007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300</v>
      </c>
      <c r="D25" s="5">
        <f>D26+D29+D31+D36+D34</f>
        <v>255.13575000000003</v>
      </c>
      <c r="E25" s="5">
        <f t="shared" si="0"/>
        <v>85.04525000000001</v>
      </c>
      <c r="F25" s="5">
        <f t="shared" si="1"/>
        <v>-44.86424999999997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170.77106000000001</v>
      </c>
      <c r="E26" s="5">
        <f t="shared" si="0"/>
        <v>68.308424000000002</v>
      </c>
      <c r="F26" s="5">
        <f t="shared" si="1"/>
        <v>-79.228939999999994</v>
      </c>
    </row>
    <row r="27" spans="1:6">
      <c r="A27" s="16">
        <v>1110502510</v>
      </c>
      <c r="B27" s="17" t="s">
        <v>226</v>
      </c>
      <c r="C27" s="12">
        <v>220</v>
      </c>
      <c r="D27" s="10">
        <v>132.49381</v>
      </c>
      <c r="E27" s="9">
        <f t="shared" si="0"/>
        <v>60.224459090909086</v>
      </c>
      <c r="F27" s="9">
        <f t="shared" si="1"/>
        <v>-87.506190000000004</v>
      </c>
    </row>
    <row r="28" spans="1:6">
      <c r="A28" s="7">
        <v>1110503510</v>
      </c>
      <c r="B28" s="11" t="s">
        <v>225</v>
      </c>
      <c r="C28" s="12">
        <v>30</v>
      </c>
      <c r="D28" s="10">
        <v>38.277250000000002</v>
      </c>
      <c r="E28" s="9">
        <f t="shared" si="0"/>
        <v>127.59083333333334</v>
      </c>
      <c r="F28" s="9">
        <f t="shared" si="1"/>
        <v>8.2772500000000022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50</v>
      </c>
      <c r="D29" s="5">
        <f>D30</f>
        <v>61.185720000000003</v>
      </c>
      <c r="E29" s="5">
        <f t="shared" si="0"/>
        <v>122.37143999999999</v>
      </c>
      <c r="F29" s="5">
        <f t="shared" si="1"/>
        <v>11.185720000000003</v>
      </c>
    </row>
    <row r="30" spans="1:6" ht="21" customHeight="1">
      <c r="A30" s="7">
        <v>1130206510</v>
      </c>
      <c r="B30" s="8" t="s">
        <v>15</v>
      </c>
      <c r="C30" s="9">
        <v>50</v>
      </c>
      <c r="D30" s="10">
        <v>61.185720000000003</v>
      </c>
      <c r="E30" s="9">
        <f t="shared" si="0"/>
        <v>122.37143999999999</v>
      </c>
      <c r="F30" s="9">
        <f t="shared" si="1"/>
        <v>11.185720000000003</v>
      </c>
    </row>
    <row r="31" spans="1:6" ht="21" customHeight="1">
      <c r="A31" s="70">
        <v>1140000000</v>
      </c>
      <c r="B31" s="71" t="s">
        <v>132</v>
      </c>
      <c r="C31" s="5">
        <f>C32+C33</f>
        <v>0</v>
      </c>
      <c r="D31" s="5">
        <f>D32+D33</f>
        <v>18.815999999999999</v>
      </c>
      <c r="E31" s="5" t="e">
        <f t="shared" si="0"/>
        <v>#DIV/0!</v>
      </c>
      <c r="F31" s="5">
        <f t="shared" si="1"/>
        <v>18.815999999999999</v>
      </c>
    </row>
    <row r="32" spans="1:6" ht="21.75" hidden="1" customHeight="1">
      <c r="A32" s="16">
        <v>1140200000</v>
      </c>
      <c r="B32" s="18" t="s">
        <v>133</v>
      </c>
      <c r="C32" s="9">
        <v>0</v>
      </c>
      <c r="D32" s="10">
        <v>18.815999999999999</v>
      </c>
      <c r="E32" s="9" t="e">
        <f t="shared" si="0"/>
        <v>#DIV/0!</v>
      </c>
      <c r="F32" s="9">
        <f t="shared" si="1"/>
        <v>18.815999999999999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47.25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3.1869999999999998</v>
      </c>
      <c r="E36" s="9" t="e">
        <f t="shared" si="0"/>
        <v>#DIV/0!</v>
      </c>
      <c r="F36" s="5">
        <f t="shared" si="1"/>
        <v>3.1869999999999998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3.1869999999999998</v>
      </c>
      <c r="E37" s="9" t="e">
        <f t="shared" si="0"/>
        <v>#DIV/0!</v>
      </c>
      <c r="F37" s="9">
        <f t="shared" si="1"/>
        <v>3.1869999999999998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2725.41</v>
      </c>
      <c r="D39" s="127">
        <f>SUM(D4,D25)</f>
        <v>2637.79306</v>
      </c>
      <c r="E39" s="5">
        <f t="shared" si="0"/>
        <v>96.785183146755898</v>
      </c>
      <c r="F39" s="5">
        <f t="shared" si="1"/>
        <v>-87.616939999999886</v>
      </c>
    </row>
    <row r="40" spans="1:7" s="6" customFormat="1">
      <c r="A40" s="3">
        <v>2000000000</v>
      </c>
      <c r="B40" s="4" t="s">
        <v>20</v>
      </c>
      <c r="C40" s="343">
        <f>C41+C43+C44+C45+C46+C47+C48+C42</f>
        <v>2882.7710000000002</v>
      </c>
      <c r="D40" s="343">
        <f>D41+D43+D44+D45+D46+D47+D48+D42</f>
        <v>1287.1969999999999</v>
      </c>
      <c r="E40" s="5">
        <f t="shared" si="0"/>
        <v>44.651378829605257</v>
      </c>
      <c r="F40" s="5">
        <f t="shared" si="1"/>
        <v>-1595.5740000000003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853.60799999999995</v>
      </c>
      <c r="E41" s="9">
        <f t="shared" si="0"/>
        <v>99.354481268783005</v>
      </c>
      <c r="F41" s="9">
        <f t="shared" si="1"/>
        <v>-5.5460000000000491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99.042000000000002</v>
      </c>
      <c r="E42" s="9">
        <f>SUM(D42/C42*100)</f>
        <v>16.506999999999998</v>
      </c>
      <c r="F42" s="9">
        <f>SUM(D42-C42)</f>
        <v>-500.95799999999997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439.43700000000001</v>
      </c>
      <c r="E43" s="9">
        <f t="shared" si="0"/>
        <v>96.122818606970839</v>
      </c>
      <c r="F43" s="9">
        <f t="shared" si="1"/>
        <v>-17.724999999999966</v>
      </c>
    </row>
    <row r="44" spans="1:7" ht="18.75" customHeight="1">
      <c r="A44" s="16">
        <v>2023000000</v>
      </c>
      <c r="B44" s="17" t="s">
        <v>23</v>
      </c>
      <c r="C44" s="12">
        <v>86.355000000000004</v>
      </c>
      <c r="D44" s="251">
        <v>85.376000000000005</v>
      </c>
      <c r="E44" s="9">
        <f t="shared" si="0"/>
        <v>98.866307683399924</v>
      </c>
      <c r="F44" s="9">
        <f t="shared" si="1"/>
        <v>-0.9789999999999992</v>
      </c>
    </row>
    <row r="45" spans="1:7" ht="17.25" customHeight="1">
      <c r="A45" s="16">
        <v>2020400000</v>
      </c>
      <c r="B45" s="17" t="s">
        <v>24</v>
      </c>
      <c r="C45" s="12">
        <v>840</v>
      </c>
      <c r="D45" s="252">
        <v>120</v>
      </c>
      <c r="E45" s="9">
        <f t="shared" si="0"/>
        <v>14.285714285714285</v>
      </c>
      <c r="F45" s="9">
        <f t="shared" si="1"/>
        <v>-720</v>
      </c>
    </row>
    <row r="46" spans="1:7" ht="1.5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t="15.75" customHeight="1">
      <c r="A47" s="7">
        <v>2190500005</v>
      </c>
      <c r="B47" s="11" t="s">
        <v>26</v>
      </c>
      <c r="C47" s="10">
        <v>0</v>
      </c>
      <c r="D47" s="10">
        <v>-350.32100000000003</v>
      </c>
      <c r="E47" s="5" t="e">
        <f t="shared" si="0"/>
        <v>#DIV/0!</v>
      </c>
      <c r="F47" s="5">
        <f>SUM(D47-C47)</f>
        <v>-350.32100000000003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 hidden="1">
      <c r="A49" s="354">
        <v>2190000010</v>
      </c>
      <c r="B49" s="355" t="s">
        <v>26</v>
      </c>
      <c r="C49" s="12">
        <v>0</v>
      </c>
      <c r="D49" s="10">
        <v>-350.32100000000003</v>
      </c>
      <c r="E49" s="9" t="e">
        <f t="shared" si="0"/>
        <v>#DIV/0!</v>
      </c>
      <c r="F49" s="9">
        <f t="shared" si="1"/>
        <v>-350.32100000000003</v>
      </c>
    </row>
    <row r="50" spans="1:7" s="6" customFormat="1" ht="19.5" customHeight="1">
      <c r="A50" s="3"/>
      <c r="B50" s="4" t="s">
        <v>28</v>
      </c>
      <c r="C50" s="389">
        <f>C39+C40</f>
        <v>5608.1810000000005</v>
      </c>
      <c r="D50" s="390">
        <f>D39+D40</f>
        <v>3924.9900600000001</v>
      </c>
      <c r="E50" s="5">
        <f t="shared" si="0"/>
        <v>69.986864903254713</v>
      </c>
      <c r="F50" s="5">
        <f t="shared" si="1"/>
        <v>-1683.1909400000004</v>
      </c>
      <c r="G50" s="94">
        <f>D50-3357.50667</f>
        <v>567.48338999999987</v>
      </c>
    </row>
    <row r="51" spans="1:7" s="6" customFormat="1">
      <c r="A51" s="3"/>
      <c r="B51" s="21" t="s">
        <v>321</v>
      </c>
      <c r="C51" s="389">
        <f>C50-C96</f>
        <v>-646.64892000000145</v>
      </c>
      <c r="D51" s="389">
        <f>D50-D96</f>
        <v>37.059460000000399</v>
      </c>
      <c r="E51" s="22"/>
      <c r="F51" s="22"/>
    </row>
    <row r="52" spans="1:7">
      <c r="A52" s="23"/>
      <c r="B52" s="24"/>
      <c r="C52" s="351"/>
      <c r="D52" s="351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3" t="s">
        <v>346</v>
      </c>
      <c r="D53" s="244" t="s">
        <v>417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6">
        <f>C56+C57+C58+C59+C60+C62+C61</f>
        <v>1542.0800000000002</v>
      </c>
      <c r="D55" s="32">
        <f>D56+D57+D58+D59+D60+D62+D61</f>
        <v>1204.4703099999999</v>
      </c>
      <c r="E55" s="34">
        <f>SUM(D55/C55*100)</f>
        <v>78.106862808673981</v>
      </c>
      <c r="F55" s="34">
        <f>SUM(D55-C55)</f>
        <v>-337.60969000000023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1526.854</v>
      </c>
      <c r="D57" s="37">
        <v>1194.27181</v>
      </c>
      <c r="E57" s="34">
        <f>SUM(D57/C57*100)</f>
        <v>78.217813229031719</v>
      </c>
      <c r="F57" s="38">
        <f t="shared" ref="F57:F96" si="3">SUM(D57-C57)</f>
        <v>-332.58219000000008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10.226000000000001</v>
      </c>
      <c r="D62" s="37">
        <v>10.198499999999999</v>
      </c>
      <c r="E62" s="38">
        <f t="shared" si="4"/>
        <v>99.731077645218065</v>
      </c>
      <c r="F62" s="38">
        <f t="shared" si="3"/>
        <v>-2.7500000000001634E-2</v>
      </c>
    </row>
    <row r="63" spans="1:7" s="6" customFormat="1">
      <c r="A63" s="41" t="s">
        <v>46</v>
      </c>
      <c r="B63" s="42" t="s">
        <v>47</v>
      </c>
      <c r="C63" s="32">
        <f>C64</f>
        <v>85.376000000000005</v>
      </c>
      <c r="D63" s="32">
        <f>D64</f>
        <v>67.317959999999999</v>
      </c>
      <c r="E63" s="34">
        <f t="shared" si="4"/>
        <v>78.848809970014983</v>
      </c>
      <c r="F63" s="34">
        <f t="shared" si="3"/>
        <v>-18.058040000000005</v>
      </c>
    </row>
    <row r="64" spans="1:7">
      <c r="A64" s="43" t="s">
        <v>48</v>
      </c>
      <c r="B64" s="44" t="s">
        <v>49</v>
      </c>
      <c r="C64" s="37">
        <v>85.376000000000005</v>
      </c>
      <c r="D64" s="37">
        <v>67.317959999999999</v>
      </c>
      <c r="E64" s="38">
        <f t="shared" si="4"/>
        <v>78.848809970014983</v>
      </c>
      <c r="F64" s="38">
        <f t="shared" si="3"/>
        <v>-18.058040000000005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193.8</v>
      </c>
      <c r="D65" s="32">
        <f>D68+D69</f>
        <v>165.29274000000001</v>
      </c>
      <c r="E65" s="34">
        <f t="shared" si="4"/>
        <v>85.290371517027864</v>
      </c>
      <c r="F65" s="34">
        <f t="shared" si="3"/>
        <v>-28.507260000000002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193.8</v>
      </c>
      <c r="D69" s="37">
        <v>165.29274000000001</v>
      </c>
      <c r="E69" s="34">
        <f t="shared" si="4"/>
        <v>85.290371517027864</v>
      </c>
      <c r="F69" s="34">
        <f t="shared" si="3"/>
        <v>-28.507260000000002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2555.1359200000002</v>
      </c>
      <c r="D70" s="48">
        <f>SUM(D71:D74)</f>
        <v>1243.7748100000001</v>
      </c>
      <c r="E70" s="34">
        <f t="shared" si="4"/>
        <v>48.677442176931237</v>
      </c>
      <c r="F70" s="34">
        <f t="shared" si="3"/>
        <v>-1311.3611100000001</v>
      </c>
    </row>
    <row r="71" spans="1:7">
      <c r="A71" s="35" t="s">
        <v>60</v>
      </c>
      <c r="B71" s="39" t="s">
        <v>61</v>
      </c>
      <c r="C71" s="49">
        <v>2.5</v>
      </c>
      <c r="D71" s="37">
        <v>1.5209999999999999</v>
      </c>
      <c r="E71" s="38">
        <f t="shared" si="4"/>
        <v>60.839999999999996</v>
      </c>
      <c r="F71" s="38">
        <f t="shared" si="3"/>
        <v>-0.97900000000000009</v>
      </c>
    </row>
    <row r="72" spans="1:7" s="6" customFormat="1">
      <c r="A72" s="35" t="s">
        <v>62</v>
      </c>
      <c r="B72" s="39" t="s">
        <v>63</v>
      </c>
      <c r="C72" s="49">
        <v>1408.329</v>
      </c>
      <c r="D72" s="37">
        <v>299.23178999999999</v>
      </c>
      <c r="E72" s="38">
        <f t="shared" si="4"/>
        <v>21.247293068594058</v>
      </c>
      <c r="F72" s="38">
        <f t="shared" si="3"/>
        <v>-1109.0972099999999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859.32201999999995</v>
      </c>
      <c r="E73" s="38">
        <f t="shared" si="4"/>
        <v>82.99429363901595</v>
      </c>
      <c r="F73" s="38">
        <f t="shared" si="3"/>
        <v>-176.07690000000014</v>
      </c>
    </row>
    <row r="74" spans="1:7">
      <c r="A74" s="35" t="s">
        <v>66</v>
      </c>
      <c r="B74" s="39" t="s">
        <v>67</v>
      </c>
      <c r="C74" s="49">
        <v>108.908</v>
      </c>
      <c r="D74" s="37">
        <v>83.7</v>
      </c>
      <c r="E74" s="38">
        <f t="shared" si="4"/>
        <v>76.853858302420392</v>
      </c>
      <c r="F74" s="38">
        <f t="shared" si="3"/>
        <v>-25.207999999999998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928.19799999999998</v>
      </c>
      <c r="D75" s="32">
        <f>SUM(D76:D78)</f>
        <v>501.77381000000003</v>
      </c>
      <c r="E75" s="34">
        <f t="shared" si="4"/>
        <v>54.058919540873831</v>
      </c>
      <c r="F75" s="34">
        <f t="shared" si="3"/>
        <v>-426.42418999999995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928.19799999999998</v>
      </c>
      <c r="D78" s="37">
        <v>501.77381000000003</v>
      </c>
      <c r="E78" s="38">
        <f t="shared" si="4"/>
        <v>54.058919540873831</v>
      </c>
      <c r="F78" s="38">
        <f t="shared" si="3"/>
        <v>-426.42418999999995</v>
      </c>
    </row>
    <row r="79" spans="1:7" s="6" customFormat="1">
      <c r="A79" s="30" t="s">
        <v>86</v>
      </c>
      <c r="B79" s="31" t="s">
        <v>87</v>
      </c>
      <c r="C79" s="32">
        <f>C80</f>
        <v>945.6</v>
      </c>
      <c r="D79" s="32">
        <f>SUM(D80)</f>
        <v>700.66097000000002</v>
      </c>
      <c r="E79" s="34">
        <f t="shared" si="4"/>
        <v>74.096972292724189</v>
      </c>
      <c r="F79" s="34">
        <f t="shared" si="3"/>
        <v>-244.93903</v>
      </c>
    </row>
    <row r="80" spans="1:7" ht="15.75" customHeight="1">
      <c r="A80" s="35" t="s">
        <v>88</v>
      </c>
      <c r="B80" s="39" t="s">
        <v>234</v>
      </c>
      <c r="C80" s="37">
        <v>945.6</v>
      </c>
      <c r="D80" s="37">
        <v>700.66097000000002</v>
      </c>
      <c r="E80" s="38">
        <f t="shared" si="4"/>
        <v>74.096972292724189</v>
      </c>
      <c r="F80" s="38">
        <f t="shared" si="3"/>
        <v>-244.93903</v>
      </c>
    </row>
    <row r="81" spans="1:7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7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7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7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7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7">
      <c r="A86" s="30" t="s">
        <v>95</v>
      </c>
      <c r="B86" s="31" t="s">
        <v>96</v>
      </c>
      <c r="C86" s="32">
        <f>C87+C88+C89+C90+C91</f>
        <v>4.6399999999999997</v>
      </c>
      <c r="D86" s="32">
        <f>D87+D88+D89+D90+D91</f>
        <v>4.6399999999999997</v>
      </c>
      <c r="E86" s="38">
        <f t="shared" si="4"/>
        <v>100</v>
      </c>
      <c r="F86" s="22">
        <f>F87+F88+F89+F90+F91</f>
        <v>0</v>
      </c>
    </row>
    <row r="87" spans="1:7" ht="17.25" customHeight="1">
      <c r="A87" s="35" t="s">
        <v>97</v>
      </c>
      <c r="B87" s="39" t="s">
        <v>98</v>
      </c>
      <c r="C87" s="37">
        <v>4.6399999999999997</v>
      </c>
      <c r="D87" s="37">
        <v>4.6399999999999997</v>
      </c>
      <c r="E87" s="38">
        <f t="shared" si="4"/>
        <v>100</v>
      </c>
      <c r="F87" s="38">
        <f>SUM(D87-C87)</f>
        <v>0</v>
      </c>
    </row>
    <row r="88" spans="1:7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7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7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7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7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7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7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7" s="6" customFormat="1" ht="15.75" customHeight="1">
      <c r="A96" s="52"/>
      <c r="B96" s="57" t="s">
        <v>119</v>
      </c>
      <c r="C96" s="393">
        <f>C55+C63+C70+C75+C79+C81+C86+C65+C92</f>
        <v>6254.8299200000019</v>
      </c>
      <c r="D96" s="393">
        <f>D55+D63+D70+D75+D79+D81+D86+D65+D92</f>
        <v>3887.9305999999997</v>
      </c>
      <c r="E96" s="34">
        <f t="shared" si="4"/>
        <v>62.158854033236423</v>
      </c>
      <c r="F96" s="34">
        <f t="shared" si="3"/>
        <v>-2366.8993200000023</v>
      </c>
      <c r="G96" s="293"/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49"/>
      <c r="D98" s="249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</sheetData>
  <customSheetViews>
    <customSheetView guid="{AEB392BF-DA26-444D-A19F-E51C57137A4D}" hiddenRows="1" topLeftCell="A25">
      <selection activeCell="D45" sqref="D45"/>
      <pageMargins left="0.7" right="0.7" top="0.75" bottom="0.75" header="0.3" footer="0.3"/>
      <pageSetup paperSize="9" scale="57" orientation="portrait" r:id="rId1"/>
    </customSheetView>
    <customSheetView guid="{B30CE22D-C12F-4E12-8BB9-3AAE0A6991CC}" scale="70" showPageBreaks="1" printArea="1" hiddenRows="1" view="pageBreakPreview" topLeftCell="A25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5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25">
      <selection activeCell="D45" sqref="D45"/>
      <pageMargins left="0.7" right="0.7" top="0.75" bottom="0.75" header="0.3" footer="0.3"/>
      <pageSetup paperSize="9" scale="57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8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topLeftCell="A32" zoomScaleNormal="100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434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1363.54</v>
      </c>
      <c r="D4" s="5">
        <f>D5+D12+D14+D17+D7</f>
        <v>1169.38087</v>
      </c>
      <c r="E4" s="5">
        <f>SUM(D4/C4*100)</f>
        <v>85.760657553133754</v>
      </c>
      <c r="F4" s="5">
        <f>SUM(D4-C4)</f>
        <v>-194.15913</v>
      </c>
    </row>
    <row r="5" spans="1:6" s="6" customFormat="1">
      <c r="A5" s="68">
        <v>1010000000</v>
      </c>
      <c r="B5" s="67" t="s">
        <v>6</v>
      </c>
      <c r="C5" s="5">
        <f>C6</f>
        <v>130.19999999999999</v>
      </c>
      <c r="D5" s="5">
        <f>D6</f>
        <v>113.92931</v>
      </c>
      <c r="E5" s="5">
        <f t="shared" ref="E5:E52" si="0">SUM(D5/C5*100)</f>
        <v>87.503310291858682</v>
      </c>
      <c r="F5" s="5">
        <f t="shared" ref="F5:F52" si="1">SUM(D5-C5)</f>
        <v>-16.270689999999988</v>
      </c>
    </row>
    <row r="6" spans="1:6">
      <c r="A6" s="7">
        <v>1010200001</v>
      </c>
      <c r="B6" s="8" t="s">
        <v>229</v>
      </c>
      <c r="C6" s="9">
        <v>130.19999999999999</v>
      </c>
      <c r="D6" s="10">
        <v>113.92931</v>
      </c>
      <c r="E6" s="9">
        <f t="shared" ref="E6:E11" si="2">SUM(D6/C6*100)</f>
        <v>87.503310291858682</v>
      </c>
      <c r="F6" s="9">
        <f t="shared" si="1"/>
        <v>-16.270689999999988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649.03158000000008</v>
      </c>
      <c r="E7" s="5">
        <f t="shared" si="2"/>
        <v>96.821251902019895</v>
      </c>
      <c r="F7" s="5">
        <f t="shared" si="1"/>
        <v>-21.308419999999842</v>
      </c>
    </row>
    <row r="8" spans="1:6">
      <c r="A8" s="7">
        <v>1030223001</v>
      </c>
      <c r="B8" s="8" t="s">
        <v>283</v>
      </c>
      <c r="C8" s="9">
        <v>250.04</v>
      </c>
      <c r="D8" s="10">
        <v>288.5249</v>
      </c>
      <c r="E8" s="9">
        <f t="shared" si="2"/>
        <v>115.39149736042233</v>
      </c>
      <c r="F8" s="9">
        <f t="shared" si="1"/>
        <v>38.48490000000001</v>
      </c>
    </row>
    <row r="9" spans="1:6">
      <c r="A9" s="7">
        <v>1030224001</v>
      </c>
      <c r="B9" s="8" t="s">
        <v>289</v>
      </c>
      <c r="C9" s="9">
        <v>2.68</v>
      </c>
      <c r="D9" s="10">
        <v>2.7386200000000001</v>
      </c>
      <c r="E9" s="9">
        <f t="shared" si="2"/>
        <v>102.18731343283582</v>
      </c>
      <c r="F9" s="9">
        <f t="shared" si="1"/>
        <v>5.8619999999999894E-2</v>
      </c>
    </row>
    <row r="10" spans="1:6">
      <c r="A10" s="7">
        <v>1030225001</v>
      </c>
      <c r="B10" s="8" t="s">
        <v>282</v>
      </c>
      <c r="C10" s="9">
        <v>417.62</v>
      </c>
      <c r="D10" s="10">
        <v>422.13808</v>
      </c>
      <c r="E10" s="9">
        <f t="shared" si="2"/>
        <v>101.0818638954073</v>
      </c>
      <c r="F10" s="9">
        <f t="shared" si="1"/>
        <v>4.5180799999999977</v>
      </c>
    </row>
    <row r="11" spans="1:6">
      <c r="A11" s="7">
        <v>1030226001</v>
      </c>
      <c r="B11" s="8" t="s">
        <v>291</v>
      </c>
      <c r="C11" s="9">
        <v>0</v>
      </c>
      <c r="D11" s="10">
        <v>-64.370019999999997</v>
      </c>
      <c r="E11" s="9" t="e">
        <f t="shared" si="2"/>
        <v>#DIV/0!</v>
      </c>
      <c r="F11" s="9">
        <f t="shared" si="1"/>
        <v>-64.370019999999997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398.51265999999998</v>
      </c>
      <c r="E14" s="5">
        <f t="shared" si="0"/>
        <v>75.907173333333333</v>
      </c>
      <c r="F14" s="5">
        <f t="shared" si="1"/>
        <v>-126.48734000000002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121.60030999999999</v>
      </c>
      <c r="E15" s="9">
        <f t="shared" si="0"/>
        <v>115.80981904761904</v>
      </c>
      <c r="F15" s="9">
        <f>SUM(D15-C15)</f>
        <v>16.600309999999993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276.91235</v>
      </c>
      <c r="E16" s="9">
        <f t="shared" si="0"/>
        <v>65.931511904761905</v>
      </c>
      <c r="F16" s="9">
        <f t="shared" si="1"/>
        <v>-143.08765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6.25</v>
      </c>
      <c r="E17" s="5">
        <f t="shared" si="0"/>
        <v>78.125</v>
      </c>
      <c r="F17" s="5">
        <f t="shared" si="1"/>
        <v>-1.75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6.25</v>
      </c>
      <c r="E18" s="9">
        <f t="shared" si="0"/>
        <v>78.125</v>
      </c>
      <c r="F18" s="9">
        <f t="shared" si="1"/>
        <v>-1.75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360</v>
      </c>
      <c r="D25" s="5">
        <f>D26+D29+D31+D34</f>
        <v>413.44936999999999</v>
      </c>
      <c r="E25" s="5">
        <f t="shared" si="0"/>
        <v>114.84704722222222</v>
      </c>
      <c r="F25" s="5">
        <f t="shared" si="1"/>
        <v>53.449369999999988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61.5</v>
      </c>
      <c r="E26" s="5">
        <f t="shared" si="0"/>
        <v>102.49999999999999</v>
      </c>
      <c r="F26" s="5">
        <f t="shared" si="1"/>
        <v>1.5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61.5</v>
      </c>
      <c r="E28" s="9">
        <f t="shared" si="0"/>
        <v>102.49999999999999</v>
      </c>
      <c r="F28" s="9">
        <f t="shared" si="1"/>
        <v>1.5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300</v>
      </c>
      <c r="D29" s="5">
        <f>D30</f>
        <v>352.18946999999997</v>
      </c>
      <c r="E29" s="5">
        <f t="shared" si="0"/>
        <v>117.39648999999999</v>
      </c>
      <c r="F29" s="5">
        <f t="shared" si="1"/>
        <v>52.189469999999972</v>
      </c>
    </row>
    <row r="30" spans="1:6" ht="15.75" customHeight="1">
      <c r="A30" s="7">
        <v>1130206005</v>
      </c>
      <c r="B30" s="8" t="s">
        <v>15</v>
      </c>
      <c r="C30" s="9">
        <v>300</v>
      </c>
      <c r="D30" s="10">
        <v>352.18946999999997</v>
      </c>
      <c r="E30" s="9">
        <f t="shared" si="0"/>
        <v>117.39648999999999</v>
      </c>
      <c r="F30" s="9">
        <f t="shared" si="1"/>
        <v>52.189469999999972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1723.54</v>
      </c>
      <c r="D37" s="127">
        <f>D4+D25</f>
        <v>1582.83024</v>
      </c>
      <c r="E37" s="5">
        <f t="shared" si="0"/>
        <v>91.836002645717542</v>
      </c>
      <c r="F37" s="5">
        <f t="shared" si="1"/>
        <v>-140.70975999999996</v>
      </c>
    </row>
    <row r="38" spans="1:7" s="6" customFormat="1">
      <c r="A38" s="3">
        <v>2000000000</v>
      </c>
      <c r="B38" s="4" t="s">
        <v>20</v>
      </c>
      <c r="C38" s="434">
        <f>C39+C41+C42+C43+C50+C51</f>
        <v>5573.3701000000001</v>
      </c>
      <c r="D38" s="434">
        <f>D39+D41+D42+D43+D50+D51</f>
        <v>5526.240600000001</v>
      </c>
      <c r="E38" s="5">
        <f t="shared" si="0"/>
        <v>99.154380578458273</v>
      </c>
      <c r="F38" s="5">
        <f t="shared" si="1"/>
        <v>-47.129499999999098</v>
      </c>
      <c r="G38" s="19"/>
    </row>
    <row r="39" spans="1:7" ht="16.5" customHeight="1">
      <c r="A39" s="16">
        <v>2021000000</v>
      </c>
      <c r="B39" s="17" t="s">
        <v>21</v>
      </c>
      <c r="C39" s="12">
        <v>2768.5630000000001</v>
      </c>
      <c r="D39" s="20">
        <v>2768.5630000000001</v>
      </c>
      <c r="E39" s="9">
        <v>0</v>
      </c>
      <c r="F39" s="9">
        <f t="shared" si="1"/>
        <v>0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1046.8801000000001</v>
      </c>
      <c r="D41" s="20">
        <v>1046.8801000000001</v>
      </c>
      <c r="E41" s="9">
        <f t="shared" si="0"/>
        <v>100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12">
        <v>1502.36</v>
      </c>
      <c r="D42" s="10">
        <v>1460.22</v>
      </c>
      <c r="E42" s="9">
        <f t="shared" si="0"/>
        <v>97.195079741207181</v>
      </c>
      <c r="F42" s="9">
        <f t="shared" si="1"/>
        <v>-42.139999999999873</v>
      </c>
    </row>
    <row r="43" spans="1:7" ht="17.25" customHeight="1">
      <c r="A43" s="16">
        <v>2023000000</v>
      </c>
      <c r="B43" s="17" t="s">
        <v>23</v>
      </c>
      <c r="C43" s="12">
        <v>177.46700000000001</v>
      </c>
      <c r="D43" s="251">
        <v>172.47749999999999</v>
      </c>
      <c r="E43" s="9">
        <f t="shared" si="0"/>
        <v>97.188491381496263</v>
      </c>
      <c r="F43" s="9">
        <f t="shared" si="1"/>
        <v>-4.9895000000000209</v>
      </c>
    </row>
    <row r="44" spans="1:7" ht="18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7">
        <f>C47</f>
        <v>0</v>
      </c>
      <c r="D46" s="352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89">
        <f>C37+C38</f>
        <v>7296.9101000000001</v>
      </c>
      <c r="D52" s="389">
        <f>D37+D38</f>
        <v>7109.0708400000012</v>
      </c>
      <c r="E52" s="5">
        <f t="shared" si="0"/>
        <v>97.425769847431738</v>
      </c>
      <c r="F52" s="5">
        <f t="shared" si="1"/>
        <v>-187.83925999999883</v>
      </c>
      <c r="G52" s="94"/>
    </row>
    <row r="53" spans="1:7" s="6" customFormat="1">
      <c r="A53" s="3"/>
      <c r="B53" s="21" t="s">
        <v>321</v>
      </c>
      <c r="C53" s="389">
        <f>C52-C98</f>
        <v>-199.8163799999993</v>
      </c>
      <c r="D53" s="389">
        <f>D52-D98</f>
        <v>497.40748000000076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413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1315.7334999999998</v>
      </c>
      <c r="D57" s="33">
        <f>D58+D59+D60+D61+D62+D64+D63</f>
        <v>1139.6824999999999</v>
      </c>
      <c r="E57" s="34">
        <f>SUM(D57/C57*100)</f>
        <v>86.619554795861021</v>
      </c>
      <c r="F57" s="34">
        <f>SUM(D57-C57)</f>
        <v>-176.05099999999993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1290.7629999999999</v>
      </c>
      <c r="D59" s="37">
        <v>1119.712</v>
      </c>
      <c r="E59" s="38">
        <f t="shared" ref="E59:E98" si="3">SUM(D59/C59*100)</f>
        <v>86.748070714763287</v>
      </c>
      <c r="F59" s="38">
        <f t="shared" ref="F59:F98" si="4">SUM(D59-C59)</f>
        <v>-171.05099999999993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7.25" customHeight="1">
      <c r="A62" s="35" t="s">
        <v>40</v>
      </c>
      <c r="B62" s="39" t="s">
        <v>41</v>
      </c>
      <c r="C62" s="37">
        <v>15.714</v>
      </c>
      <c r="D62" s="37">
        <v>15.714</v>
      </c>
      <c r="E62" s="38">
        <f t="shared" si="3"/>
        <v>100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170.749</v>
      </c>
      <c r="D65" s="32">
        <f>D66</f>
        <v>137.83233000000001</v>
      </c>
      <c r="E65" s="34">
        <f t="shared" si="3"/>
        <v>80.722188709743548</v>
      </c>
      <c r="F65" s="34">
        <f t="shared" si="4"/>
        <v>-32.916669999999982</v>
      </c>
    </row>
    <row r="66" spans="1:7">
      <c r="A66" s="43" t="s">
        <v>48</v>
      </c>
      <c r="B66" s="44" t="s">
        <v>49</v>
      </c>
      <c r="C66" s="37">
        <v>170.749</v>
      </c>
      <c r="D66" s="37">
        <v>137.83233000000001</v>
      </c>
      <c r="E66" s="38">
        <f t="shared" si="3"/>
        <v>80.722188709743548</v>
      </c>
      <c r="F66" s="38">
        <f t="shared" si="4"/>
        <v>-32.916669999999982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1575.7813799999999</v>
      </c>
      <c r="D72" s="48">
        <f>SUM(D73:D76)</f>
        <v>1345.69823</v>
      </c>
      <c r="E72" s="34">
        <f t="shared" si="3"/>
        <v>85.398789900665022</v>
      </c>
      <c r="F72" s="34">
        <f t="shared" si="4"/>
        <v>-230.08314999999993</v>
      </c>
    </row>
    <row r="73" spans="1:7" ht="17.25" customHeight="1">
      <c r="A73" s="35" t="s">
        <v>60</v>
      </c>
      <c r="B73" s="39" t="s">
        <v>61</v>
      </c>
      <c r="C73" s="49">
        <v>17.5</v>
      </c>
      <c r="D73" s="37">
        <v>6.25</v>
      </c>
      <c r="E73" s="38">
        <f t="shared" si="3"/>
        <v>35.714285714285715</v>
      </c>
      <c r="F73" s="38">
        <f t="shared" si="4"/>
        <v>-11.25</v>
      </c>
    </row>
    <row r="74" spans="1:7" s="6" customFormat="1" ht="19.5" customHeight="1">
      <c r="A74" s="35" t="s">
        <v>62</v>
      </c>
      <c r="B74" s="39" t="s">
        <v>63</v>
      </c>
      <c r="C74" s="49">
        <v>350</v>
      </c>
      <c r="D74" s="37">
        <v>229.16685000000001</v>
      </c>
      <c r="E74" s="38">
        <f t="shared" si="3"/>
        <v>65.476242857142864</v>
      </c>
      <c r="F74" s="38">
        <f t="shared" si="4"/>
        <v>-120.83314999999999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1110.2813799999999</v>
      </c>
      <c r="E75" s="38">
        <f t="shared" si="3"/>
        <v>91.88930644615246</v>
      </c>
      <c r="F75" s="38">
        <f t="shared" si="4"/>
        <v>-98</v>
      </c>
    </row>
    <row r="76" spans="1:7">
      <c r="A76" s="35" t="s">
        <v>66</v>
      </c>
      <c r="B76" s="39" t="s">
        <v>67</v>
      </c>
      <c r="C76" s="49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713.04</v>
      </c>
      <c r="D77" s="32">
        <f>SUM(D78:D80)</f>
        <v>662.20764999999994</v>
      </c>
      <c r="E77" s="34">
        <f t="shared" si="3"/>
        <v>92.871038090429707</v>
      </c>
      <c r="F77" s="34">
        <f t="shared" si="4"/>
        <v>-50.832350000000019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713.04</v>
      </c>
      <c r="D80" s="37">
        <v>662.20764999999994</v>
      </c>
      <c r="E80" s="38">
        <f t="shared" si="3"/>
        <v>92.871038090429707</v>
      </c>
      <c r="F80" s="38">
        <f t="shared" si="4"/>
        <v>-50.832350000000019</v>
      </c>
    </row>
    <row r="81" spans="1:6" s="6" customFormat="1">
      <c r="A81" s="30" t="s">
        <v>86</v>
      </c>
      <c r="B81" s="31" t="s">
        <v>87</v>
      </c>
      <c r="C81" s="32">
        <f>C82</f>
        <v>3714.4225999999999</v>
      </c>
      <c r="D81" s="32">
        <f>SUM(D82)</f>
        <v>3326.2426500000001</v>
      </c>
      <c r="E81" s="34">
        <f t="shared" si="3"/>
        <v>89.549386491456303</v>
      </c>
      <c r="F81" s="34">
        <f t="shared" si="4"/>
        <v>-388.17994999999974</v>
      </c>
    </row>
    <row r="82" spans="1:6" ht="15" hidden="1" customHeight="1">
      <c r="A82" s="35" t="s">
        <v>88</v>
      </c>
      <c r="B82" s="39" t="s">
        <v>234</v>
      </c>
      <c r="C82" s="37">
        <v>3714.4225999999999</v>
      </c>
      <c r="D82" s="37">
        <v>3326.2426500000001</v>
      </c>
      <c r="E82" s="38">
        <f t="shared" si="3"/>
        <v>89.549386491456303</v>
      </c>
      <c r="F82" s="38">
        <f t="shared" si="4"/>
        <v>-388.17994999999974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1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93">
        <f>C57+C65+C67+C72+C77+C81+C88+C83</f>
        <v>7496.7264799999994</v>
      </c>
      <c r="D98" s="393">
        <f>D57+D65+D67+D72+D77+D81+D88+D83</f>
        <v>6611.6633600000005</v>
      </c>
      <c r="E98" s="34">
        <f t="shared" si="3"/>
        <v>88.19400544542745</v>
      </c>
      <c r="F98" s="34">
        <f t="shared" si="4"/>
        <v>-885.06311999999889</v>
      </c>
    </row>
    <row r="99" spans="1:6">
      <c r="D99" s="245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AEB392BF-DA26-444D-A19F-E51C57137A4D}" hiddenRows="1" topLeftCell="A32">
      <selection activeCell="J56" sqref="J56"/>
      <pageMargins left="0.7" right="0.7" top="0.75" bottom="0.75" header="0.3" footer="0.3"/>
      <pageSetup paperSize="9" scale="52" orientation="portrait" r:id="rId1"/>
    </customSheetView>
    <customSheetView guid="{B30CE22D-C12F-4E12-8BB9-3AAE0A6991CC}" scale="70" showPageBreaks="1" hiddenRows="1" view="pageBreakPreview" topLeftCell="A16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8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5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13" t="s">
        <v>435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2545.75</v>
      </c>
      <c r="D4" s="5">
        <f>D5+D12+D14+D17+D7</f>
        <v>2056.9383800000001</v>
      </c>
      <c r="E4" s="5">
        <f>SUM(D4/C4*100)</f>
        <v>80.798915054502601</v>
      </c>
      <c r="F4" s="5">
        <f>SUM(D4-C4)</f>
        <v>-488.81161999999995</v>
      </c>
    </row>
    <row r="5" spans="1:6" s="6" customFormat="1">
      <c r="A5" s="68">
        <v>1010000000</v>
      </c>
      <c r="B5" s="67" t="s">
        <v>6</v>
      </c>
      <c r="C5" s="5">
        <f>C6</f>
        <v>121.5</v>
      </c>
      <c r="D5" s="5">
        <f>D6</f>
        <v>122.40165</v>
      </c>
      <c r="E5" s="5">
        <f t="shared" ref="E5:E52" si="0">SUM(D5/C5*100)</f>
        <v>100.7420987654321</v>
      </c>
      <c r="F5" s="5">
        <f t="shared" ref="F5:F52" si="1">SUM(D5-C5)</f>
        <v>0.90165000000000362</v>
      </c>
    </row>
    <row r="6" spans="1:6">
      <c r="A6" s="7">
        <v>1010200001</v>
      </c>
      <c r="B6" s="8" t="s">
        <v>229</v>
      </c>
      <c r="C6" s="9">
        <v>121.5</v>
      </c>
      <c r="D6" s="10">
        <v>122.40165</v>
      </c>
      <c r="E6" s="9">
        <f t="shared" ref="E6:E11" si="2">SUM(D6/C6*100)</f>
        <v>100.7420987654321</v>
      </c>
      <c r="F6" s="9">
        <f t="shared" si="1"/>
        <v>0.90165000000000362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708.97392000000002</v>
      </c>
      <c r="E7" s="5">
        <f t="shared" si="2"/>
        <v>96.821293274155025</v>
      </c>
      <c r="F7" s="5">
        <f t="shared" si="1"/>
        <v>-23.276079999999865</v>
      </c>
    </row>
    <row r="8" spans="1:6">
      <c r="A8" s="7">
        <v>1030223001</v>
      </c>
      <c r="B8" s="8" t="s">
        <v>283</v>
      </c>
      <c r="C8" s="9">
        <v>273.13</v>
      </c>
      <c r="D8" s="10">
        <v>315.17214000000001</v>
      </c>
      <c r="E8" s="9">
        <f t="shared" si="2"/>
        <v>115.39272141471095</v>
      </c>
      <c r="F8" s="9">
        <f t="shared" si="1"/>
        <v>42.042140000000018</v>
      </c>
    </row>
    <row r="9" spans="1:6">
      <c r="A9" s="7">
        <v>1030224001</v>
      </c>
      <c r="B9" s="8" t="s">
        <v>289</v>
      </c>
      <c r="C9" s="9">
        <v>2.93</v>
      </c>
      <c r="D9" s="10">
        <v>2.9915799999999999</v>
      </c>
      <c r="E9" s="9">
        <f t="shared" si="2"/>
        <v>102.10170648464162</v>
      </c>
      <c r="F9" s="9">
        <f t="shared" si="1"/>
        <v>6.1579999999999746E-2</v>
      </c>
    </row>
    <row r="10" spans="1:6">
      <c r="A10" s="7">
        <v>1030225001</v>
      </c>
      <c r="B10" s="8" t="s">
        <v>282</v>
      </c>
      <c r="C10" s="9">
        <v>456.19</v>
      </c>
      <c r="D10" s="10">
        <v>461.12536</v>
      </c>
      <c r="E10" s="9">
        <f t="shared" si="2"/>
        <v>101.08186501238518</v>
      </c>
      <c r="F10" s="9">
        <f>SUM(D10-C10)</f>
        <v>4.9353600000000029</v>
      </c>
    </row>
    <row r="11" spans="1:6">
      <c r="A11" s="7">
        <v>1030226001</v>
      </c>
      <c r="B11" s="8" t="s">
        <v>291</v>
      </c>
      <c r="C11" s="9">
        <v>0</v>
      </c>
      <c r="D11" s="10">
        <v>-70.315160000000006</v>
      </c>
      <c r="E11" s="9" t="e">
        <f t="shared" si="2"/>
        <v>#DIV/0!</v>
      </c>
      <c r="F11" s="9">
        <f>SUM(D11-C11)</f>
        <v>-70.315160000000006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21.5001</v>
      </c>
      <c r="E12" s="5">
        <f t="shared" si="0"/>
        <v>86.000399999999999</v>
      </c>
      <c r="F12" s="5">
        <f t="shared" si="1"/>
        <v>-3.4999000000000002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21.5001</v>
      </c>
      <c r="E13" s="9">
        <f t="shared" si="0"/>
        <v>86.000399999999999</v>
      </c>
      <c r="F13" s="9">
        <f t="shared" si="1"/>
        <v>-3.4999000000000002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1655</v>
      </c>
      <c r="D14" s="5">
        <f>D15+D16</f>
        <v>1190.4255000000001</v>
      </c>
      <c r="E14" s="5">
        <f t="shared" si="0"/>
        <v>71.929033232628399</v>
      </c>
      <c r="F14" s="5">
        <f t="shared" si="1"/>
        <v>-464.57449999999994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138.60238000000001</v>
      </c>
      <c r="E15" s="9">
        <f t="shared" si="0"/>
        <v>89.420890322580647</v>
      </c>
      <c r="F15" s="9">
        <f>SUM(D15-C15)</f>
        <v>-16.397619999999989</v>
      </c>
    </row>
    <row r="16" spans="1:6" ht="15.75" customHeight="1">
      <c r="A16" s="7">
        <v>1060600000</v>
      </c>
      <c r="B16" s="11" t="s">
        <v>8</v>
      </c>
      <c r="C16" s="9">
        <v>1500</v>
      </c>
      <c r="D16" s="10">
        <v>1051.82312</v>
      </c>
      <c r="E16" s="9">
        <f t="shared" si="0"/>
        <v>70.12154133333334</v>
      </c>
      <c r="F16" s="9">
        <f t="shared" si="1"/>
        <v>-448.17687999999998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13.63721</v>
      </c>
      <c r="E17" s="5">
        <f t="shared" si="0"/>
        <v>113.64341666666667</v>
      </c>
      <c r="F17" s="5">
        <f t="shared" si="1"/>
        <v>1.6372099999999996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13.63721</v>
      </c>
      <c r="E18" s="9">
        <f t="shared" si="0"/>
        <v>113.64341666666667</v>
      </c>
      <c r="F18" s="9">
        <f t="shared" si="1"/>
        <v>1.6372099999999996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115</v>
      </c>
      <c r="D25" s="5">
        <f>D30+D37+D26+D35</f>
        <v>115.90724</v>
      </c>
      <c r="E25" s="5">
        <f t="shared" si="0"/>
        <v>100.78890434782608</v>
      </c>
      <c r="F25" s="5">
        <f t="shared" si="1"/>
        <v>0.9072400000000016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85</v>
      </c>
      <c r="D26" s="5">
        <f>D27+D28</f>
        <v>61.579819999999998</v>
      </c>
      <c r="E26" s="5">
        <f t="shared" si="0"/>
        <v>72.446847058823522</v>
      </c>
      <c r="F26" s="5">
        <f t="shared" si="1"/>
        <v>-23.420180000000002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8.5763599999999993</v>
      </c>
      <c r="E27" s="9">
        <f t="shared" si="0"/>
        <v>28.587866666666667</v>
      </c>
      <c r="F27" s="9">
        <f t="shared" si="1"/>
        <v>-21.423639999999999</v>
      </c>
    </row>
    <row r="28" spans="1:6" ht="15.75" customHeight="1">
      <c r="A28" s="7">
        <v>1110503510</v>
      </c>
      <c r="B28" s="11" t="s">
        <v>225</v>
      </c>
      <c r="C28" s="12">
        <v>55</v>
      </c>
      <c r="D28" s="10">
        <v>53.003459999999997</v>
      </c>
      <c r="E28" s="9">
        <f t="shared" si="0"/>
        <v>96.369927272727267</v>
      </c>
      <c r="F28" s="9">
        <f t="shared" si="1"/>
        <v>-1.9965400000000031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5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30</v>
      </c>
      <c r="D30" s="5">
        <f>D31</f>
        <v>41.379269999999998</v>
      </c>
      <c r="E30" s="5">
        <f t="shared" si="0"/>
        <v>137.93089999999998</v>
      </c>
      <c r="F30" s="5">
        <f t="shared" si="1"/>
        <v>11.379269999999998</v>
      </c>
    </row>
    <row r="31" spans="1:6" ht="17.25" customHeight="1">
      <c r="A31" s="7">
        <v>1130206005</v>
      </c>
      <c r="B31" s="8" t="s">
        <v>224</v>
      </c>
      <c r="C31" s="9">
        <v>30</v>
      </c>
      <c r="D31" s="10">
        <v>41.379269999999998</v>
      </c>
      <c r="E31" s="9">
        <f t="shared" si="0"/>
        <v>137.93089999999998</v>
      </c>
      <c r="F31" s="9">
        <f t="shared" si="1"/>
        <v>11.379269999999998</v>
      </c>
    </row>
    <row r="32" spans="1:6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47.25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2660.75</v>
      </c>
      <c r="D40" s="127">
        <f>D4+D25</f>
        <v>2172.8456200000001</v>
      </c>
      <c r="E40" s="5">
        <f t="shared" si="0"/>
        <v>81.662900310062952</v>
      </c>
      <c r="F40" s="5">
        <f t="shared" si="1"/>
        <v>-487.90437999999995</v>
      </c>
    </row>
    <row r="41" spans="1:7" s="6" customFormat="1">
      <c r="A41" s="3">
        <v>2000000000</v>
      </c>
      <c r="B41" s="4" t="s">
        <v>20</v>
      </c>
      <c r="C41" s="343">
        <f>C42+C44+C45+C47+C48+C49+C43+C51</f>
        <v>6139.4014900000002</v>
      </c>
      <c r="D41" s="343">
        <f>D42+D44+D45+D47+D48+D49+D43+D51</f>
        <v>5260.7959300000002</v>
      </c>
      <c r="E41" s="5">
        <f t="shared" si="0"/>
        <v>85.689068202640058</v>
      </c>
      <c r="F41" s="5">
        <f t="shared" si="1"/>
        <v>-878.60555999999997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1685.8910000000001</v>
      </c>
      <c r="E42" s="9">
        <f t="shared" si="0"/>
        <v>92.571710650223793</v>
      </c>
      <c r="F42" s="9">
        <f t="shared" si="1"/>
        <v>-135.28199999999993</v>
      </c>
    </row>
    <row r="43" spans="1:7" ht="17.25" customHeight="1">
      <c r="A43" s="16">
        <v>2021500200</v>
      </c>
      <c r="B43" s="17" t="s">
        <v>232</v>
      </c>
      <c r="C43" s="12">
        <v>239.46700000000001</v>
      </c>
      <c r="D43" s="20">
        <v>0</v>
      </c>
      <c r="E43" s="9">
        <f t="shared" si="0"/>
        <v>0</v>
      </c>
      <c r="F43" s="9">
        <f t="shared" si="1"/>
        <v>-239.46700000000001</v>
      </c>
    </row>
    <row r="44" spans="1:7">
      <c r="A44" s="16">
        <v>2022000000</v>
      </c>
      <c r="B44" s="17" t="s">
        <v>22</v>
      </c>
      <c r="C44" s="12">
        <v>3239.2814899999998</v>
      </c>
      <c r="D44" s="10">
        <v>2465.4258300000001</v>
      </c>
      <c r="E44" s="9">
        <f t="shared" si="0"/>
        <v>76.110268206422532</v>
      </c>
      <c r="F44" s="9">
        <f t="shared" si="1"/>
        <v>-773.85565999999972</v>
      </c>
    </row>
    <row r="45" spans="1:7" ht="15.75" customHeight="1">
      <c r="A45" s="16">
        <v>2023000000</v>
      </c>
      <c r="B45" s="17" t="s">
        <v>23</v>
      </c>
      <c r="C45" s="12">
        <v>175.78700000000001</v>
      </c>
      <c r="D45" s="251">
        <v>171.7861</v>
      </c>
      <c r="E45" s="9">
        <f t="shared" si="0"/>
        <v>97.724006894707799</v>
      </c>
      <c r="F45" s="9">
        <f t="shared" si="1"/>
        <v>-4.0009000000000015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7">
        <v>663.69299999999998</v>
      </c>
      <c r="D51" s="328">
        <v>937.69299999999998</v>
      </c>
      <c r="E51" s="9">
        <f t="shared" si="0"/>
        <v>141.28414794189484</v>
      </c>
      <c r="F51" s="9">
        <f t="shared" si="1"/>
        <v>274</v>
      </c>
    </row>
    <row r="52" spans="1:7" s="6" customFormat="1">
      <c r="A52" s="3"/>
      <c r="B52" s="4" t="s">
        <v>28</v>
      </c>
      <c r="C52" s="389">
        <f>SUM(C40,C41,C50)</f>
        <v>8800.1514900000002</v>
      </c>
      <c r="D52" s="390">
        <f>D40+D41</f>
        <v>7433.6415500000003</v>
      </c>
      <c r="E52" s="5">
        <f t="shared" si="0"/>
        <v>84.471745269921485</v>
      </c>
      <c r="F52" s="5">
        <f t="shared" si="1"/>
        <v>-1366.5099399999999</v>
      </c>
      <c r="G52" s="94"/>
    </row>
    <row r="53" spans="1:7" s="6" customFormat="1">
      <c r="A53" s="3"/>
      <c r="B53" s="21" t="s">
        <v>321</v>
      </c>
      <c r="C53" s="391">
        <f>C52-C99</f>
        <v>-2198.5853299999999</v>
      </c>
      <c r="D53" s="391">
        <f>D52-D99</f>
        <v>-1115.4929400000001</v>
      </c>
      <c r="E53" s="22"/>
      <c r="F53" s="22"/>
    </row>
    <row r="54" spans="1:7" ht="32.25" customHeight="1">
      <c r="A54" s="23"/>
      <c r="B54" s="24"/>
      <c r="C54" s="247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417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1309.998</v>
      </c>
      <c r="D57" s="33">
        <f>D58+D59+D60+D61+D62+D64+D63</f>
        <v>1006.71091</v>
      </c>
      <c r="E57" s="34">
        <f>SUM(D57/C57*100)</f>
        <v>76.848278394318157</v>
      </c>
      <c r="F57" s="34">
        <f>SUM(D57-C57)</f>
        <v>-303.28709000000003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986.40391</v>
      </c>
      <c r="E59" s="38">
        <f t="shared" ref="E59:E99" si="3">SUM(D59/C59*100)</f>
        <v>76.842304075882254</v>
      </c>
      <c r="F59" s="38">
        <f t="shared" ref="F59:F99" si="4">SUM(D59-C59)</f>
        <v>-297.26909000000001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21.324999999999999</v>
      </c>
      <c r="D64" s="37">
        <v>20.306999999999999</v>
      </c>
      <c r="E64" s="38">
        <f t="shared" si="3"/>
        <v>95.226260257913239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170.749</v>
      </c>
      <c r="D65" s="32">
        <f>D66</f>
        <v>142.11234999999999</v>
      </c>
      <c r="E65" s="34">
        <f t="shared" si="3"/>
        <v>83.228803682598425</v>
      </c>
      <c r="F65" s="34">
        <f t="shared" si="4"/>
        <v>-28.636650000000003</v>
      </c>
    </row>
    <row r="66" spans="1:7">
      <c r="A66" s="43" t="s">
        <v>48</v>
      </c>
      <c r="B66" s="44" t="s">
        <v>49</v>
      </c>
      <c r="C66" s="37">
        <v>170.749</v>
      </c>
      <c r="D66" s="37">
        <v>142.11234999999999</v>
      </c>
      <c r="E66" s="38">
        <f t="shared" si="3"/>
        <v>83.228803682598425</v>
      </c>
      <c r="F66" s="38">
        <f t="shared" si="4"/>
        <v>-28.636650000000003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41.530230000000003</v>
      </c>
      <c r="D67" s="32">
        <f>D71+D70+D72</f>
        <v>39.530230000000003</v>
      </c>
      <c r="E67" s="34">
        <f t="shared" si="3"/>
        <v>95.18423086026732</v>
      </c>
      <c r="F67" s="34">
        <f t="shared" si="4"/>
        <v>-2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219</v>
      </c>
      <c r="B71" s="47" t="s">
        <v>220</v>
      </c>
      <c r="C71" s="37">
        <v>10</v>
      </c>
      <c r="D71" s="37">
        <v>8</v>
      </c>
      <c r="E71" s="34">
        <f t="shared" si="3"/>
        <v>80</v>
      </c>
      <c r="F71" s="34">
        <f t="shared" si="4"/>
        <v>-2</v>
      </c>
    </row>
    <row r="72" spans="1:7" ht="15.75" customHeight="1">
      <c r="A72" s="46" t="s">
        <v>360</v>
      </c>
      <c r="B72" s="47" t="s">
        <v>363</v>
      </c>
      <c r="C72" s="37">
        <v>31.53023</v>
      </c>
      <c r="D72" s="37">
        <v>31.53023</v>
      </c>
      <c r="E72" s="34">
        <f>SUM(D72/C72*100)</f>
        <v>100</v>
      </c>
      <c r="F72" s="34">
        <f>SUM(D72-C72)</f>
        <v>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5712.3555900000001</v>
      </c>
      <c r="D73" s="48">
        <f>SUM(D74:D77)</f>
        <v>4351.0243300000002</v>
      </c>
      <c r="E73" s="34">
        <f t="shared" si="3"/>
        <v>76.168653394352162</v>
      </c>
      <c r="F73" s="34">
        <f t="shared" si="4"/>
        <v>-1361.3312599999999</v>
      </c>
    </row>
    <row r="74" spans="1:7" ht="16.5" customHeight="1">
      <c r="A74" s="35" t="s">
        <v>60</v>
      </c>
      <c r="B74" s="39" t="s">
        <v>61</v>
      </c>
      <c r="C74" s="49">
        <v>12.5</v>
      </c>
      <c r="D74" s="37">
        <v>8.4991000000000003</v>
      </c>
      <c r="E74" s="38">
        <f t="shared" si="3"/>
        <v>67.992800000000003</v>
      </c>
      <c r="F74" s="38">
        <f t="shared" si="4"/>
        <v>-4.0008999999999997</v>
      </c>
    </row>
    <row r="75" spans="1:7" s="6" customFormat="1" ht="17.25" customHeight="1">
      <c r="A75" s="35" t="s">
        <v>62</v>
      </c>
      <c r="B75" s="39" t="s">
        <v>63</v>
      </c>
      <c r="C75" s="49">
        <v>437.54989999999998</v>
      </c>
      <c r="D75" s="37">
        <v>125</v>
      </c>
      <c r="E75" s="38">
        <f t="shared" si="3"/>
        <v>28.568170167562606</v>
      </c>
      <c r="F75" s="38">
        <f t="shared" si="4"/>
        <v>-312.54989999999998</v>
      </c>
      <c r="G75" s="50"/>
    </row>
    <row r="76" spans="1:7" ht="18" customHeight="1">
      <c r="A76" s="35" t="s">
        <v>64</v>
      </c>
      <c r="B76" s="39" t="s">
        <v>65</v>
      </c>
      <c r="C76" s="49">
        <v>5051.3646900000003</v>
      </c>
      <c r="D76" s="37">
        <v>4017.1546400000002</v>
      </c>
      <c r="E76" s="38">
        <f t="shared" si="3"/>
        <v>79.52612583986685</v>
      </c>
      <c r="F76" s="38">
        <f t="shared" si="4"/>
        <v>-1034.2100500000001</v>
      </c>
    </row>
    <row r="77" spans="1:7">
      <c r="A77" s="35" t="s">
        <v>66</v>
      </c>
      <c r="B77" s="39" t="s">
        <v>67</v>
      </c>
      <c r="C77" s="49">
        <v>210.941</v>
      </c>
      <c r="D77" s="37">
        <v>200.37058999999999</v>
      </c>
      <c r="E77" s="38">
        <f t="shared" si="3"/>
        <v>94.988925813379083</v>
      </c>
      <c r="F77" s="38">
        <f t="shared" si="4"/>
        <v>-10.57041000000001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583.77499999999998</v>
      </c>
      <c r="D78" s="32">
        <f>SUM(D79:D81)</f>
        <v>456.90724</v>
      </c>
      <c r="E78" s="34">
        <f t="shared" si="3"/>
        <v>78.267695601901423</v>
      </c>
      <c r="F78" s="34">
        <f t="shared" si="4"/>
        <v>-126.86775999999998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583.77499999999998</v>
      </c>
      <c r="D81" s="37">
        <v>456.90724</v>
      </c>
      <c r="E81" s="38">
        <f>SUM(D81/C81*100)</f>
        <v>78.267695601901423</v>
      </c>
      <c r="F81" s="38">
        <f t="shared" si="4"/>
        <v>-126.86775999999998</v>
      </c>
    </row>
    <row r="82" spans="1:6" s="6" customFormat="1" hidden="1">
      <c r="A82" s="30" t="s">
        <v>86</v>
      </c>
      <c r="B82" s="31" t="s">
        <v>87</v>
      </c>
      <c r="C82" s="32">
        <f>C83</f>
        <v>3124.8290000000002</v>
      </c>
      <c r="D82" s="32">
        <f>D83</f>
        <v>2504.2824300000002</v>
      </c>
      <c r="E82" s="34">
        <f t="shared" si="3"/>
        <v>80.141423098671964</v>
      </c>
      <c r="F82" s="34">
        <f t="shared" si="4"/>
        <v>-620.54656999999997</v>
      </c>
    </row>
    <row r="83" spans="1:6" ht="18.75" hidden="1" customHeight="1">
      <c r="A83" s="35" t="s">
        <v>88</v>
      </c>
      <c r="B83" s="39" t="s">
        <v>234</v>
      </c>
      <c r="C83" s="37">
        <v>3124.8290000000002</v>
      </c>
      <c r="D83" s="37">
        <v>2504.2824300000002</v>
      </c>
      <c r="E83" s="38">
        <f t="shared" si="3"/>
        <v>80.141423098671964</v>
      </c>
      <c r="F83" s="38">
        <f t="shared" si="4"/>
        <v>-620.54656999999997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55.5</v>
      </c>
      <c r="D89" s="32">
        <f>D90+D91+D92+D93+D94</f>
        <v>48.567</v>
      </c>
      <c r="E89" s="38">
        <f t="shared" si="3"/>
        <v>87.508108108108104</v>
      </c>
      <c r="F89" s="22">
        <f>F90+F91+F92+F93+F94</f>
        <v>-6.9329999999999998</v>
      </c>
    </row>
    <row r="90" spans="1:6" ht="17.25" customHeight="1">
      <c r="A90" s="35" t="s">
        <v>97</v>
      </c>
      <c r="B90" s="39" t="s">
        <v>98</v>
      </c>
      <c r="C90" s="37">
        <v>55.5</v>
      </c>
      <c r="D90" s="37">
        <v>48.567</v>
      </c>
      <c r="E90" s="38">
        <f t="shared" si="3"/>
        <v>87.508108108108104</v>
      </c>
      <c r="F90" s="38">
        <f>SUM(D90-C90)</f>
        <v>-6.9329999999999998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4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0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93">
        <f>C57+C65+C67+C73+C78+C82+C84+C89+C95</f>
        <v>10998.73682</v>
      </c>
      <c r="D99" s="393">
        <f>D57+D65+D67+D73+D78+D82+D84+D89+D95</f>
        <v>8549.1344900000004</v>
      </c>
      <c r="E99" s="34">
        <f t="shared" si="3"/>
        <v>77.728330352030369</v>
      </c>
      <c r="F99" s="34">
        <f t="shared" si="4"/>
        <v>-2449.6023299999997</v>
      </c>
      <c r="G99" s="293"/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AEB392BF-DA26-444D-A19F-E51C57137A4D}" hiddenRows="1" topLeftCell="A51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printArea="1" hiddenRows="1" view="pageBreakPreview" topLeftCell="A26">
      <selection activeCell="D99" sqref="D99"/>
      <pageMargins left="0.70866141732283472" right="0.70866141732283472" top="0.74803149606299213" bottom="0.74803149606299213" header="0.31496062992125984" footer="0.31496062992125984"/>
      <pageSetup paperSize="9" scale="59" orientation="portrait" r:id="rId2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opLeftCell="A6" zoomScaleNormal="100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13" t="s">
        <v>436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1770.1619999999998</v>
      </c>
      <c r="D4" s="5">
        <f>D5+D12+D14+D17+D7</f>
        <v>1380.8315400000001</v>
      </c>
      <c r="E4" s="5">
        <f>SUM(D4/C4*100)</f>
        <v>78.005941829052944</v>
      </c>
      <c r="F4" s="5">
        <f>SUM(D4-C4)</f>
        <v>-389.33045999999968</v>
      </c>
    </row>
    <row r="5" spans="1:6" s="6" customFormat="1">
      <c r="A5" s="3">
        <v>1010000000</v>
      </c>
      <c r="B5" s="4" t="s">
        <v>6</v>
      </c>
      <c r="C5" s="5">
        <f>C6</f>
        <v>101.6</v>
      </c>
      <c r="D5" s="5">
        <f>D6</f>
        <v>91.125690000000006</v>
      </c>
      <c r="E5" s="5">
        <f t="shared" ref="E5:E48" si="0">SUM(D5/C5*100)</f>
        <v>89.690639763779529</v>
      </c>
      <c r="F5" s="5">
        <f t="shared" ref="F5:F48" si="1">SUM(D5-C5)</f>
        <v>-10.474309999999988</v>
      </c>
    </row>
    <row r="6" spans="1:6">
      <c r="A6" s="7">
        <v>1010200001</v>
      </c>
      <c r="B6" s="8" t="s">
        <v>229</v>
      </c>
      <c r="C6" s="9">
        <v>101.6</v>
      </c>
      <c r="D6" s="10">
        <v>91.125690000000006</v>
      </c>
      <c r="E6" s="9">
        <f t="shared" ref="E6:E11" si="2">SUM(D6/C6*100)</f>
        <v>89.690639763779529</v>
      </c>
      <c r="F6" s="9">
        <f t="shared" si="1"/>
        <v>-10.474309999999988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407.19497999999999</v>
      </c>
      <c r="E7" s="5">
        <f t="shared" si="2"/>
        <v>96.82208959482594</v>
      </c>
      <c r="F7" s="5">
        <f t="shared" si="1"/>
        <v>-13.365020000000015</v>
      </c>
    </row>
    <row r="8" spans="1:6">
      <c r="A8" s="7">
        <v>1030223001</v>
      </c>
      <c r="B8" s="8" t="s">
        <v>283</v>
      </c>
      <c r="C8" s="9">
        <v>156.87</v>
      </c>
      <c r="D8" s="10">
        <v>181.01722000000001</v>
      </c>
      <c r="E8" s="9">
        <f t="shared" si="2"/>
        <v>115.3931408172372</v>
      </c>
      <c r="F8" s="9">
        <f t="shared" si="1"/>
        <v>24.147220000000004</v>
      </c>
    </row>
    <row r="9" spans="1:6">
      <c r="A9" s="7">
        <v>1030224001</v>
      </c>
      <c r="B9" s="8" t="s">
        <v>289</v>
      </c>
      <c r="C9" s="9">
        <v>1.68</v>
      </c>
      <c r="D9" s="10">
        <v>1.7182500000000001</v>
      </c>
      <c r="E9" s="9">
        <f t="shared" si="2"/>
        <v>102.27678571428571</v>
      </c>
      <c r="F9" s="9">
        <f t="shared" si="1"/>
        <v>3.8250000000000117E-2</v>
      </c>
    </row>
    <row r="10" spans="1:6">
      <c r="A10" s="7">
        <v>1030225001</v>
      </c>
      <c r="B10" s="8" t="s">
        <v>282</v>
      </c>
      <c r="C10" s="9">
        <v>262.01</v>
      </c>
      <c r="D10" s="10">
        <v>264.84458999999998</v>
      </c>
      <c r="E10" s="9">
        <f t="shared" si="2"/>
        <v>101.08186328766078</v>
      </c>
      <c r="F10" s="9">
        <f t="shared" si="1"/>
        <v>2.8345899999999915</v>
      </c>
    </row>
    <row r="11" spans="1:6">
      <c r="A11" s="7">
        <v>1030226001</v>
      </c>
      <c r="B11" s="8" t="s">
        <v>291</v>
      </c>
      <c r="C11" s="9">
        <v>0</v>
      </c>
      <c r="D11" s="10">
        <v>-40.385080000000002</v>
      </c>
      <c r="E11" s="9" t="e">
        <f t="shared" si="2"/>
        <v>#DIV/0!</v>
      </c>
      <c r="F11" s="9">
        <f t="shared" si="1"/>
        <v>-40.385080000000002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1235</v>
      </c>
      <c r="D14" s="5">
        <f>D15+D16</f>
        <v>878.47607000000005</v>
      </c>
      <c r="E14" s="5">
        <f t="shared" si="0"/>
        <v>71.131665587044537</v>
      </c>
      <c r="F14" s="5">
        <f t="shared" si="1"/>
        <v>-356.52392999999995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76.696910000000003</v>
      </c>
      <c r="E15" s="9">
        <f t="shared" si="0"/>
        <v>32.636982978723402</v>
      </c>
      <c r="F15" s="9">
        <f>SUM(D15-C15)</f>
        <v>-158.30309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801.77916000000005</v>
      </c>
      <c r="E16" s="9">
        <f t="shared" si="0"/>
        <v>80.17791600000001</v>
      </c>
      <c r="F16" s="9">
        <f t="shared" si="1"/>
        <v>-198.22083999999995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3.931</v>
      </c>
      <c r="E17" s="5">
        <f t="shared" si="0"/>
        <v>49.125218695326168</v>
      </c>
      <c r="F17" s="5">
        <f t="shared" si="1"/>
        <v>-4.0710000000000006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3.931</v>
      </c>
      <c r="E18" s="9">
        <f t="shared" si="0"/>
        <v>49.125218695326168</v>
      </c>
      <c r="F18" s="9">
        <f t="shared" si="1"/>
        <v>-4.0710000000000006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100</v>
      </c>
      <c r="D25" s="5">
        <f>D26+D29+D31+D34</f>
        <v>134.51964000000001</v>
      </c>
      <c r="E25" s="5">
        <f t="shared" si="0"/>
        <v>134.51964000000001</v>
      </c>
      <c r="F25" s="5">
        <f t="shared" si="1"/>
        <v>34.51964000000001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100</v>
      </c>
      <c r="D26" s="5">
        <f>D27+D28+D30</f>
        <v>134.51964000000001</v>
      </c>
      <c r="E26" s="5">
        <f t="shared" si="0"/>
        <v>134.51964000000001</v>
      </c>
      <c r="F26" s="5">
        <f t="shared" si="1"/>
        <v>34.51964000000001</v>
      </c>
    </row>
    <row r="27" spans="1:6" ht="15" customHeight="1">
      <c r="A27" s="16">
        <v>1110502510</v>
      </c>
      <c r="B27" s="17" t="s">
        <v>226</v>
      </c>
      <c r="C27" s="12">
        <v>100</v>
      </c>
      <c r="D27" s="10">
        <v>134.51964000000001</v>
      </c>
      <c r="E27" s="5">
        <f t="shared" si="0"/>
        <v>134.51964000000001</v>
      </c>
      <c r="F27" s="9">
        <f t="shared" si="1"/>
        <v>34.51964000000001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1870.1619999999998</v>
      </c>
      <c r="D37" s="127">
        <f>D4+D25</f>
        <v>1515.3511800000001</v>
      </c>
      <c r="E37" s="5">
        <f t="shared" si="0"/>
        <v>81.027802938996743</v>
      </c>
      <c r="F37" s="5">
        <f t="shared" si="1"/>
        <v>-354.81081999999969</v>
      </c>
    </row>
    <row r="38" spans="1:8" s="6" customFormat="1">
      <c r="A38" s="3">
        <v>2000000000</v>
      </c>
      <c r="B38" s="4" t="s">
        <v>20</v>
      </c>
      <c r="C38" s="5">
        <f>C39+C41+C42+C44+C45+C46+C40</f>
        <v>7503.9669999999996</v>
      </c>
      <c r="D38" s="5">
        <f>D39+D41+D42+D44+D45+D46+D40</f>
        <v>6841.2262300000002</v>
      </c>
      <c r="E38" s="5">
        <f t="shared" si="0"/>
        <v>91.168127871564479</v>
      </c>
      <c r="F38" s="5">
        <f t="shared" si="1"/>
        <v>-662.74076999999943</v>
      </c>
      <c r="G38" s="19"/>
    </row>
    <row r="39" spans="1:8">
      <c r="A39" s="16">
        <v>2021000000</v>
      </c>
      <c r="B39" s="17" t="s">
        <v>21</v>
      </c>
      <c r="C39" s="12">
        <f>940.2+34.871</f>
        <v>975.07100000000003</v>
      </c>
      <c r="D39" s="20">
        <v>918.803</v>
      </c>
      <c r="E39" s="9">
        <f t="shared" si="0"/>
        <v>94.229343299103334</v>
      </c>
      <c r="F39" s="9">
        <f t="shared" si="1"/>
        <v>-56.268000000000029</v>
      </c>
    </row>
    <row r="40" spans="1:8" ht="15.75" customHeight="1">
      <c r="A40" s="16">
        <v>2021500200</v>
      </c>
      <c r="B40" s="17" t="s">
        <v>232</v>
      </c>
      <c r="C40" s="12">
        <v>682</v>
      </c>
      <c r="D40" s="20">
        <v>584</v>
      </c>
      <c r="E40" s="9">
        <f t="shared" si="0"/>
        <v>85.630498533724335</v>
      </c>
      <c r="F40" s="9">
        <f t="shared" si="1"/>
        <v>-98</v>
      </c>
    </row>
    <row r="41" spans="1:8">
      <c r="A41" s="16">
        <v>2022000000</v>
      </c>
      <c r="B41" s="17" t="s">
        <v>22</v>
      </c>
      <c r="C41" s="12">
        <v>5457.0300900000002</v>
      </c>
      <c r="D41" s="10">
        <v>5003.0500300000003</v>
      </c>
      <c r="E41" s="9">
        <f t="shared" si="0"/>
        <v>91.680821756289788</v>
      </c>
      <c r="F41" s="9">
        <f t="shared" si="1"/>
        <v>-453.98005999999987</v>
      </c>
    </row>
    <row r="42" spans="1:8" ht="13.5" customHeight="1">
      <c r="A42" s="16">
        <v>2023000000</v>
      </c>
      <c r="B42" s="17" t="s">
        <v>23</v>
      </c>
      <c r="C42" s="12">
        <v>88.876999999999995</v>
      </c>
      <c r="D42" s="251">
        <v>87.4512</v>
      </c>
      <c r="E42" s="9">
        <f t="shared" si="0"/>
        <v>98.395760432957914</v>
      </c>
      <c r="F42" s="9">
        <f t="shared" si="1"/>
        <v>-1.4257999999999953</v>
      </c>
    </row>
    <row r="43" spans="1:8" hidden="1">
      <c r="A43" s="16">
        <v>2070503010</v>
      </c>
      <c r="B43" s="17" t="s">
        <v>271</v>
      </c>
      <c r="C43" s="12">
        <v>0</v>
      </c>
      <c r="D43" s="251">
        <v>0</v>
      </c>
      <c r="E43" s="9" t="e">
        <f t="shared" si="0"/>
        <v>#DIV/0!</v>
      </c>
      <c r="F43" s="9">
        <f t="shared" si="1"/>
        <v>0</v>
      </c>
    </row>
    <row r="44" spans="1:8">
      <c r="A44" s="16">
        <v>2020400000</v>
      </c>
      <c r="B44" s="17" t="s">
        <v>24</v>
      </c>
      <c r="C44" s="12">
        <v>46.06691</v>
      </c>
      <c r="D44" s="252">
        <v>0</v>
      </c>
      <c r="E44" s="9">
        <f t="shared" si="0"/>
        <v>0</v>
      </c>
      <c r="F44" s="9">
        <f t="shared" si="1"/>
        <v>-46.06691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2">
        <v>247.922</v>
      </c>
      <c r="E45" s="9">
        <v>922</v>
      </c>
      <c r="F45" s="9">
        <f t="shared" si="1"/>
        <v>-7</v>
      </c>
      <c r="G45" s="357"/>
      <c r="H45" s="357"/>
    </row>
    <row r="46" spans="1:8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87">
        <f>SUM(C37,C38,C47)</f>
        <v>9374.128999999999</v>
      </c>
      <c r="D48" s="388">
        <f>D37+D38</f>
        <v>8356.5774099999999</v>
      </c>
      <c r="E48" s="5">
        <f t="shared" si="0"/>
        <v>89.145107881489579</v>
      </c>
      <c r="F48" s="5">
        <f t="shared" si="1"/>
        <v>-1017.5515899999991</v>
      </c>
      <c r="G48" s="293"/>
    </row>
    <row r="49" spans="1:6" s="6" customFormat="1">
      <c r="A49" s="3"/>
      <c r="B49" s="21" t="s">
        <v>321</v>
      </c>
      <c r="C49" s="389">
        <f>C48-C94</f>
        <v>-53.65987000000132</v>
      </c>
      <c r="D49" s="389">
        <f>D48-D94</f>
        <v>138.94227000000137</v>
      </c>
      <c r="E49" s="22"/>
      <c r="F49" s="22"/>
    </row>
    <row r="50" spans="1:6" ht="23.25" customHeight="1">
      <c r="A50" s="23"/>
      <c r="B50" s="24"/>
      <c r="C50" s="326"/>
      <c r="D50" s="326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417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1313.3093799999999</v>
      </c>
      <c r="D53" s="32">
        <f>D54+D55+D56+D57+D58+D60+D59</f>
        <v>1132.3674899999999</v>
      </c>
      <c r="E53" s="34">
        <f>SUM(D53/C53*100)</f>
        <v>86.22244744798823</v>
      </c>
      <c r="F53" s="34">
        <f>SUM(D53-C53)</f>
        <v>-180.94189000000006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1300.05538</v>
      </c>
      <c r="D55" s="37">
        <v>1124.11349</v>
      </c>
      <c r="E55" s="38">
        <f t="shared" ref="E55:E94" si="3">SUM(D55/C55*100)</f>
        <v>86.466584985018088</v>
      </c>
      <c r="F55" s="38">
        <f t="shared" ref="F55:F94" si="4">SUM(D55-C55)</f>
        <v>-175.94189000000006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8.2539999999999996</v>
      </c>
      <c r="D60" s="37">
        <v>8.2539999999999996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85.376999999999995</v>
      </c>
      <c r="D61" s="32">
        <f>D62</f>
        <v>69.299880000000002</v>
      </c>
      <c r="E61" s="34">
        <f t="shared" si="3"/>
        <v>81.169261042201072</v>
      </c>
      <c r="F61" s="34">
        <f t="shared" si="4"/>
        <v>-16.077119999999994</v>
      </c>
    </row>
    <row r="62" spans="1:6">
      <c r="A62" s="43" t="s">
        <v>48</v>
      </c>
      <c r="B62" s="44" t="s">
        <v>49</v>
      </c>
      <c r="C62" s="37">
        <v>85.376999999999995</v>
      </c>
      <c r="D62" s="37">
        <v>69.299880000000002</v>
      </c>
      <c r="E62" s="38">
        <f t="shared" si="3"/>
        <v>81.169261042201072</v>
      </c>
      <c r="F62" s="38">
        <f t="shared" si="4"/>
        <v>-16.077119999999994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15.635999999999999</v>
      </c>
      <c r="D63" s="32">
        <f>D67+D66</f>
        <v>15.635999999999999</v>
      </c>
      <c r="E63" s="34">
        <f t="shared" si="3"/>
        <v>100</v>
      </c>
      <c r="F63" s="34">
        <f t="shared" si="4"/>
        <v>0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0</v>
      </c>
      <c r="D66" s="37">
        <v>0</v>
      </c>
      <c r="E66" s="34" t="e">
        <f t="shared" si="3"/>
        <v>#DIV/0!</v>
      </c>
      <c r="F66" s="34">
        <f t="shared" si="4"/>
        <v>0</v>
      </c>
    </row>
    <row r="67" spans="1:7" ht="15.75" customHeight="1">
      <c r="A67" s="46" t="s">
        <v>219</v>
      </c>
      <c r="B67" s="47" t="s">
        <v>220</v>
      </c>
      <c r="C67" s="37">
        <v>15.635999999999999</v>
      </c>
      <c r="D67" s="37">
        <v>15.635999999999999</v>
      </c>
      <c r="E67" s="34">
        <f t="shared" si="3"/>
        <v>100</v>
      </c>
      <c r="F67" s="34">
        <f t="shared" si="4"/>
        <v>0</v>
      </c>
    </row>
    <row r="68" spans="1:7" s="6" customFormat="1">
      <c r="A68" s="30" t="s">
        <v>58</v>
      </c>
      <c r="B68" s="31" t="s">
        <v>59</v>
      </c>
      <c r="C68" s="48">
        <f>SUM(C69:C72)</f>
        <v>2190.9008699999999</v>
      </c>
      <c r="D68" s="48">
        <f>SUM(D69:D72)</f>
        <v>1918.9057499999999</v>
      </c>
      <c r="E68" s="34">
        <f t="shared" si="3"/>
        <v>87.585238395564645</v>
      </c>
      <c r="F68" s="34">
        <f t="shared" si="4"/>
        <v>-271.99512000000004</v>
      </c>
    </row>
    <row r="69" spans="1:7" ht="15" customHeight="1">
      <c r="A69" s="35" t="s">
        <v>60</v>
      </c>
      <c r="B69" s="39" t="s">
        <v>61</v>
      </c>
      <c r="C69" s="49">
        <v>11.25</v>
      </c>
      <c r="D69" s="37">
        <v>8.3611199999999997</v>
      </c>
      <c r="E69" s="38">
        <f t="shared" si="3"/>
        <v>74.321066666666667</v>
      </c>
      <c r="F69" s="38">
        <f t="shared" si="4"/>
        <v>-2.8888800000000003</v>
      </c>
    </row>
    <row r="70" spans="1:7" s="6" customFormat="1" ht="18" customHeight="1">
      <c r="A70" s="35" t="s">
        <v>62</v>
      </c>
      <c r="B70" s="39" t="s">
        <v>63</v>
      </c>
      <c r="C70" s="49">
        <v>127.84851</v>
      </c>
      <c r="D70" s="37">
        <v>75.101420000000005</v>
      </c>
      <c r="E70" s="38">
        <f t="shared" si="3"/>
        <v>58.742507049945281</v>
      </c>
      <c r="F70" s="38">
        <f t="shared" si="4"/>
        <v>-52.74709</v>
      </c>
      <c r="G70" s="50"/>
    </row>
    <row r="71" spans="1:7">
      <c r="A71" s="35" t="s">
        <v>64</v>
      </c>
      <c r="B71" s="39" t="s">
        <v>65</v>
      </c>
      <c r="C71" s="49">
        <v>1972.7388699999999</v>
      </c>
      <c r="D71" s="37">
        <v>1799.63321</v>
      </c>
      <c r="E71" s="38">
        <f t="shared" si="3"/>
        <v>91.225110295515194</v>
      </c>
      <c r="F71" s="38">
        <f t="shared" si="4"/>
        <v>-173.10565999999994</v>
      </c>
    </row>
    <row r="72" spans="1:7">
      <c r="A72" s="35" t="s">
        <v>66</v>
      </c>
      <c r="B72" s="39" t="s">
        <v>67</v>
      </c>
      <c r="C72" s="49">
        <v>79.063490000000002</v>
      </c>
      <c r="D72" s="37">
        <v>35.81</v>
      </c>
      <c r="E72" s="38">
        <f t="shared" si="3"/>
        <v>45.292713488868252</v>
      </c>
      <c r="F72" s="38">
        <f t="shared" si="4"/>
        <v>-43.253489999999999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476.05061999999998</v>
      </c>
      <c r="D73" s="32">
        <f>SUM(D75:D76)</f>
        <v>326.24901999999997</v>
      </c>
      <c r="E73" s="34">
        <f t="shared" si="3"/>
        <v>68.532422035286928</v>
      </c>
      <c r="F73" s="34">
        <f t="shared" si="4"/>
        <v>-149.80160000000001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278.05061999999998</v>
      </c>
      <c r="D76" s="37">
        <v>128.24902</v>
      </c>
      <c r="E76" s="38">
        <f>SUM(D76/C76*100)</f>
        <v>46.12434239492076</v>
      </c>
      <c r="F76" s="38">
        <f t="shared" si="4"/>
        <v>-149.80159999999998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4753.1620000000003</v>
      </c>
      <c r="E77" s="34">
        <f t="shared" si="3"/>
        <v>88.935578632238759</v>
      </c>
      <c r="F77" s="34">
        <f t="shared" si="4"/>
        <v>-591.33799999999974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4753.1620000000003</v>
      </c>
      <c r="E78" s="38">
        <f t="shared" si="3"/>
        <v>88.935578632238759</v>
      </c>
      <c r="F78" s="38">
        <f t="shared" si="4"/>
        <v>-591.33799999999974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hidden="1" customHeight="1">
      <c r="A84" s="30" t="s">
        <v>95</v>
      </c>
      <c r="B84" s="31" t="s">
        <v>96</v>
      </c>
      <c r="C84" s="32">
        <f>C85+C86+C87+C88+C89</f>
        <v>2.0150000000000001</v>
      </c>
      <c r="D84" s="32">
        <f>D85+D86+D87+D88+D89</f>
        <v>2.0150000000000001</v>
      </c>
      <c r="E84" s="38">
        <f t="shared" si="3"/>
        <v>100</v>
      </c>
      <c r="F84" s="22">
        <f>F85+F86+F87+F88+F89</f>
        <v>0</v>
      </c>
    </row>
    <row r="85" spans="1:6" ht="15" customHeight="1">
      <c r="A85" s="35" t="s">
        <v>97</v>
      </c>
      <c r="B85" s="39" t="s">
        <v>98</v>
      </c>
      <c r="C85" s="346">
        <v>2.0150000000000001</v>
      </c>
      <c r="D85" s="346">
        <v>2.0150000000000001</v>
      </c>
      <c r="E85" s="38">
        <f t="shared" si="3"/>
        <v>100</v>
      </c>
      <c r="F85" s="38">
        <f>SUM(D85-C85)</f>
        <v>0</v>
      </c>
    </row>
    <row r="86" spans="1:6" ht="15.75" hidden="1" customHeight="1">
      <c r="A86" s="35" t="s">
        <v>99</v>
      </c>
      <c r="B86" s="39" t="s">
        <v>100</v>
      </c>
      <c r="C86" s="346"/>
      <c r="D86" s="346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6"/>
      <c r="D87" s="346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6"/>
      <c r="D88" s="346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6"/>
      <c r="D89" s="346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47">
        <f>C91+C92+C93</f>
        <v>0</v>
      </c>
      <c r="D90" s="347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48"/>
      <c r="D91" s="346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48"/>
      <c r="D92" s="346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49">
        <v>0</v>
      </c>
      <c r="D93" s="350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88">
        <f>C53+C61+C63+C68+C73+C77+C79+C84+C90</f>
        <v>9427.7888700000003</v>
      </c>
      <c r="D94" s="388">
        <f>D53+D61+D63+D68+D73+D77+D79+D84+D90</f>
        <v>8217.6351399999985</v>
      </c>
      <c r="E94" s="34">
        <f t="shared" si="3"/>
        <v>87.163970824051745</v>
      </c>
      <c r="F94" s="34">
        <f t="shared" si="4"/>
        <v>-1210.1537300000018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AEB392BF-DA26-444D-A19F-E51C57137A4D}" hiddenRows="1" topLeftCell="A6">
      <selection activeCell="D28" sqref="D28"/>
      <pageMargins left="0.7" right="0.7" top="0.75" bottom="0.75" header="0.3" footer="0.3"/>
      <pageSetup paperSize="9" scale="62" orientation="portrait" r:id="rId1"/>
    </customSheetView>
    <customSheetView guid="{B30CE22D-C12F-4E12-8BB9-3AAE0A6991CC}" scale="70" showPageBreaks="1" hiddenRows="1" view="pageBreakPreview" topLeftCell="A13">
      <selection activeCell="D85" sqref="D8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4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5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6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I9" sqref="I9:K11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05" t="s">
        <v>137</v>
      </c>
      <c r="Y1" s="505"/>
      <c r="Z1" s="505"/>
      <c r="AA1" s="156"/>
      <c r="AB1" s="156"/>
      <c r="AC1" s="156"/>
      <c r="AD1" s="500"/>
      <c r="AE1" s="500"/>
      <c r="AF1" s="500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500"/>
      <c r="AE2" s="500"/>
      <c r="AF2" s="500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04" t="s">
        <v>139</v>
      </c>
      <c r="Y3" s="504"/>
      <c r="Z3" s="504"/>
      <c r="AA3" s="158"/>
      <c r="AB3" s="158"/>
      <c r="AC3" s="158"/>
      <c r="AD3" s="504"/>
      <c r="AE3" s="504"/>
      <c r="AF3" s="504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08" t="s">
        <v>140</v>
      </c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06" t="s">
        <v>411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85" t="s">
        <v>141</v>
      </c>
      <c r="B7" s="485" t="s">
        <v>142</v>
      </c>
      <c r="C7" s="476" t="s">
        <v>143</v>
      </c>
      <c r="D7" s="477"/>
      <c r="E7" s="478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76" t="s">
        <v>145</v>
      </c>
      <c r="DH7" s="477"/>
      <c r="DI7" s="478"/>
      <c r="DJ7" s="476"/>
      <c r="DK7" s="477"/>
      <c r="DL7" s="477"/>
      <c r="DM7" s="477"/>
      <c r="DN7" s="477"/>
      <c r="DO7" s="477"/>
      <c r="DP7" s="477"/>
      <c r="DQ7" s="477"/>
      <c r="DR7" s="477"/>
      <c r="DS7" s="477"/>
      <c r="DT7" s="477"/>
      <c r="DU7" s="477"/>
      <c r="DV7" s="477"/>
      <c r="DW7" s="477"/>
      <c r="DX7" s="477"/>
      <c r="DY7" s="477"/>
      <c r="DZ7" s="477"/>
      <c r="EA7" s="477"/>
      <c r="EB7" s="477"/>
      <c r="EC7" s="477"/>
      <c r="ED7" s="477"/>
      <c r="EE7" s="477"/>
      <c r="EF7" s="477"/>
      <c r="EG7" s="477"/>
      <c r="EH7" s="477"/>
      <c r="EI7" s="477"/>
      <c r="EJ7" s="477"/>
      <c r="EK7" s="477"/>
      <c r="EL7" s="477"/>
      <c r="EM7" s="477"/>
      <c r="EN7" s="477"/>
      <c r="EO7" s="477"/>
      <c r="EP7" s="477"/>
      <c r="EQ7" s="477"/>
      <c r="ER7" s="477"/>
      <c r="ES7" s="477"/>
      <c r="ET7" s="477"/>
      <c r="EU7" s="477"/>
      <c r="EV7" s="478"/>
      <c r="EW7" s="476" t="s">
        <v>146</v>
      </c>
      <c r="EX7" s="477"/>
      <c r="EY7" s="478"/>
    </row>
    <row r="8" spans="1:159" s="169" customFormat="1" ht="15" customHeight="1">
      <c r="A8" s="485"/>
      <c r="B8" s="485"/>
      <c r="C8" s="479"/>
      <c r="D8" s="480"/>
      <c r="E8" s="481"/>
      <c r="F8" s="479" t="s">
        <v>147</v>
      </c>
      <c r="G8" s="480"/>
      <c r="H8" s="481"/>
      <c r="I8" s="501" t="s">
        <v>148</v>
      </c>
      <c r="J8" s="502"/>
      <c r="K8" s="502"/>
      <c r="L8" s="502"/>
      <c r="M8" s="502"/>
      <c r="N8" s="502"/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2"/>
      <c r="AF8" s="502"/>
      <c r="AG8" s="502"/>
      <c r="AH8" s="502"/>
      <c r="AI8" s="502"/>
      <c r="AJ8" s="502"/>
      <c r="AK8" s="502"/>
      <c r="AL8" s="502"/>
      <c r="AM8" s="502"/>
      <c r="AN8" s="502"/>
      <c r="AO8" s="502"/>
      <c r="AP8" s="502"/>
      <c r="AQ8" s="502"/>
      <c r="AR8" s="502"/>
      <c r="AS8" s="502"/>
      <c r="AT8" s="502"/>
      <c r="AU8" s="502"/>
      <c r="AV8" s="502"/>
      <c r="AW8" s="502"/>
      <c r="AX8" s="503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85" t="s">
        <v>149</v>
      </c>
      <c r="CA8" s="485"/>
      <c r="CB8" s="485"/>
      <c r="CC8" s="482" t="s">
        <v>148</v>
      </c>
      <c r="CD8" s="483"/>
      <c r="CE8" s="483"/>
      <c r="CF8" s="483"/>
      <c r="CG8" s="483"/>
      <c r="CH8" s="483"/>
      <c r="CI8" s="483"/>
      <c r="CJ8" s="483"/>
      <c r="CK8" s="483"/>
      <c r="CL8" s="483"/>
      <c r="CM8" s="483"/>
      <c r="CN8" s="483"/>
      <c r="CO8" s="170"/>
      <c r="CP8" s="170"/>
      <c r="CQ8" s="170"/>
      <c r="CR8" s="170"/>
      <c r="CS8" s="170"/>
      <c r="CT8" s="170"/>
      <c r="CU8" s="175"/>
      <c r="CV8" s="175"/>
      <c r="CW8" s="176"/>
      <c r="CX8" s="479" t="s">
        <v>150</v>
      </c>
      <c r="CY8" s="480"/>
      <c r="CZ8" s="481"/>
      <c r="DA8" s="510"/>
      <c r="DB8" s="511"/>
      <c r="DC8" s="512"/>
      <c r="DD8" s="510"/>
      <c r="DE8" s="511"/>
      <c r="DF8" s="512"/>
      <c r="DG8" s="479"/>
      <c r="DH8" s="480"/>
      <c r="DI8" s="481"/>
      <c r="DJ8" s="479" t="s">
        <v>148</v>
      </c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0"/>
      <c r="EH8" s="480"/>
      <c r="EI8" s="480"/>
      <c r="EJ8" s="480"/>
      <c r="EK8" s="480"/>
      <c r="EL8" s="480"/>
      <c r="EM8" s="480"/>
      <c r="EN8" s="480"/>
      <c r="EO8" s="480"/>
      <c r="EP8" s="480"/>
      <c r="EQ8" s="480"/>
      <c r="ER8" s="480"/>
      <c r="ES8" s="480"/>
      <c r="ET8" s="480"/>
      <c r="EU8" s="480"/>
      <c r="EV8" s="481"/>
      <c r="EW8" s="479"/>
      <c r="EX8" s="480"/>
      <c r="EY8" s="481"/>
    </row>
    <row r="9" spans="1:159" s="169" customFormat="1" ht="15" customHeight="1">
      <c r="A9" s="485"/>
      <c r="B9" s="485"/>
      <c r="C9" s="479"/>
      <c r="D9" s="480"/>
      <c r="E9" s="481"/>
      <c r="F9" s="479"/>
      <c r="G9" s="480"/>
      <c r="H9" s="481"/>
      <c r="I9" s="476" t="s">
        <v>151</v>
      </c>
      <c r="J9" s="477"/>
      <c r="K9" s="478"/>
      <c r="L9" s="476" t="s">
        <v>293</v>
      </c>
      <c r="M9" s="477"/>
      <c r="N9" s="478"/>
      <c r="O9" s="476" t="s">
        <v>296</v>
      </c>
      <c r="P9" s="477"/>
      <c r="Q9" s="478"/>
      <c r="R9" s="476" t="s">
        <v>294</v>
      </c>
      <c r="S9" s="477"/>
      <c r="T9" s="478"/>
      <c r="U9" s="476" t="s">
        <v>295</v>
      </c>
      <c r="V9" s="477"/>
      <c r="W9" s="478"/>
      <c r="X9" s="476" t="s">
        <v>152</v>
      </c>
      <c r="Y9" s="477"/>
      <c r="Z9" s="478"/>
      <c r="AA9" s="476" t="s">
        <v>153</v>
      </c>
      <c r="AB9" s="477"/>
      <c r="AC9" s="478"/>
      <c r="AD9" s="476" t="s">
        <v>154</v>
      </c>
      <c r="AE9" s="477"/>
      <c r="AF9" s="478"/>
      <c r="AG9" s="485" t="s">
        <v>155</v>
      </c>
      <c r="AH9" s="485"/>
      <c r="AI9" s="485"/>
      <c r="AJ9" s="476" t="s">
        <v>255</v>
      </c>
      <c r="AK9" s="477"/>
      <c r="AL9" s="478"/>
      <c r="AM9" s="476" t="s">
        <v>156</v>
      </c>
      <c r="AN9" s="477"/>
      <c r="AO9" s="478"/>
      <c r="AP9" s="476" t="s">
        <v>348</v>
      </c>
      <c r="AQ9" s="477"/>
      <c r="AR9" s="478"/>
      <c r="AS9" s="476" t="s">
        <v>157</v>
      </c>
      <c r="AT9" s="477"/>
      <c r="AU9" s="478"/>
      <c r="AV9" s="476" t="s">
        <v>158</v>
      </c>
      <c r="AW9" s="477"/>
      <c r="AX9" s="478"/>
      <c r="AY9" s="476" t="s">
        <v>257</v>
      </c>
      <c r="AZ9" s="477"/>
      <c r="BA9" s="478"/>
      <c r="BB9" s="476" t="s">
        <v>358</v>
      </c>
      <c r="BC9" s="477"/>
      <c r="BD9" s="478"/>
      <c r="BE9" s="476" t="s">
        <v>159</v>
      </c>
      <c r="BF9" s="477"/>
      <c r="BG9" s="478"/>
      <c r="BH9" s="476" t="s">
        <v>160</v>
      </c>
      <c r="BI9" s="477"/>
      <c r="BJ9" s="478"/>
      <c r="BK9" s="476" t="s">
        <v>286</v>
      </c>
      <c r="BL9" s="477"/>
      <c r="BM9" s="478"/>
      <c r="BN9" s="476" t="s">
        <v>253</v>
      </c>
      <c r="BO9" s="477"/>
      <c r="BP9" s="478"/>
      <c r="BQ9" s="476" t="s">
        <v>161</v>
      </c>
      <c r="BR9" s="477"/>
      <c r="BS9" s="478"/>
      <c r="BT9" s="476" t="s">
        <v>162</v>
      </c>
      <c r="BU9" s="477"/>
      <c r="BV9" s="478"/>
      <c r="BW9" s="479" t="s">
        <v>163</v>
      </c>
      <c r="BX9" s="480"/>
      <c r="BY9" s="480"/>
      <c r="BZ9" s="485"/>
      <c r="CA9" s="485"/>
      <c r="CB9" s="485"/>
      <c r="CC9" s="476" t="s">
        <v>349</v>
      </c>
      <c r="CD9" s="477"/>
      <c r="CE9" s="478"/>
      <c r="CF9" s="476" t="s">
        <v>350</v>
      </c>
      <c r="CG9" s="477"/>
      <c r="CH9" s="478"/>
      <c r="CI9" s="476" t="s">
        <v>164</v>
      </c>
      <c r="CJ9" s="477"/>
      <c r="CK9" s="478"/>
      <c r="CL9" s="476" t="s">
        <v>165</v>
      </c>
      <c r="CM9" s="477"/>
      <c r="CN9" s="478"/>
      <c r="CO9" s="476" t="s">
        <v>24</v>
      </c>
      <c r="CP9" s="477"/>
      <c r="CQ9" s="478"/>
      <c r="CR9" s="476" t="s">
        <v>303</v>
      </c>
      <c r="CS9" s="477"/>
      <c r="CT9" s="478"/>
      <c r="CU9" s="476" t="s">
        <v>351</v>
      </c>
      <c r="CV9" s="477"/>
      <c r="CW9" s="478"/>
      <c r="CX9" s="479"/>
      <c r="CY9" s="480"/>
      <c r="CZ9" s="481"/>
      <c r="DA9" s="476" t="s">
        <v>271</v>
      </c>
      <c r="DB9" s="477"/>
      <c r="DC9" s="478"/>
      <c r="DD9" s="485" t="s">
        <v>166</v>
      </c>
      <c r="DE9" s="485"/>
      <c r="DF9" s="485"/>
      <c r="DG9" s="479"/>
      <c r="DH9" s="480"/>
      <c r="DI9" s="481"/>
      <c r="DJ9" s="486" t="s">
        <v>167</v>
      </c>
      <c r="DK9" s="487"/>
      <c r="DL9" s="488"/>
      <c r="DM9" s="495" t="s">
        <v>144</v>
      </c>
      <c r="DN9" s="496"/>
      <c r="DO9" s="496"/>
      <c r="DP9" s="496"/>
      <c r="DQ9" s="496"/>
      <c r="DR9" s="496"/>
      <c r="DS9" s="496"/>
      <c r="DT9" s="496"/>
      <c r="DU9" s="496"/>
      <c r="DV9" s="496"/>
      <c r="DW9" s="496"/>
      <c r="DX9" s="497"/>
      <c r="DY9" s="486" t="s">
        <v>168</v>
      </c>
      <c r="DZ9" s="487"/>
      <c r="EA9" s="488"/>
      <c r="EB9" s="486" t="s">
        <v>169</v>
      </c>
      <c r="EC9" s="487"/>
      <c r="ED9" s="488"/>
      <c r="EE9" s="486" t="s">
        <v>170</v>
      </c>
      <c r="EF9" s="487"/>
      <c r="EG9" s="488"/>
      <c r="EH9" s="486" t="s">
        <v>171</v>
      </c>
      <c r="EI9" s="487"/>
      <c r="EJ9" s="488"/>
      <c r="EK9" s="476" t="s">
        <v>297</v>
      </c>
      <c r="EL9" s="477"/>
      <c r="EM9" s="478"/>
      <c r="EN9" s="476" t="s">
        <v>172</v>
      </c>
      <c r="EO9" s="477"/>
      <c r="EP9" s="478"/>
      <c r="EQ9" s="476" t="s">
        <v>329</v>
      </c>
      <c r="ER9" s="477"/>
      <c r="ES9" s="478"/>
      <c r="ET9" s="485" t="s">
        <v>299</v>
      </c>
      <c r="EU9" s="485"/>
      <c r="EV9" s="485"/>
      <c r="EW9" s="479"/>
      <c r="EX9" s="480"/>
      <c r="EY9" s="481"/>
    </row>
    <row r="10" spans="1:159" s="169" customFormat="1" ht="38.25" customHeight="1">
      <c r="A10" s="485"/>
      <c r="B10" s="485"/>
      <c r="C10" s="479"/>
      <c r="D10" s="480"/>
      <c r="E10" s="481"/>
      <c r="F10" s="479"/>
      <c r="G10" s="480"/>
      <c r="H10" s="481"/>
      <c r="I10" s="479"/>
      <c r="J10" s="480"/>
      <c r="K10" s="481"/>
      <c r="L10" s="479"/>
      <c r="M10" s="480"/>
      <c r="N10" s="481"/>
      <c r="O10" s="479"/>
      <c r="P10" s="480"/>
      <c r="Q10" s="481"/>
      <c r="R10" s="479"/>
      <c r="S10" s="480"/>
      <c r="T10" s="481"/>
      <c r="U10" s="479"/>
      <c r="V10" s="480"/>
      <c r="W10" s="481"/>
      <c r="X10" s="479"/>
      <c r="Y10" s="480"/>
      <c r="Z10" s="481"/>
      <c r="AA10" s="479"/>
      <c r="AB10" s="480"/>
      <c r="AC10" s="481"/>
      <c r="AD10" s="479"/>
      <c r="AE10" s="480"/>
      <c r="AF10" s="481"/>
      <c r="AG10" s="485"/>
      <c r="AH10" s="485"/>
      <c r="AI10" s="485"/>
      <c r="AJ10" s="479"/>
      <c r="AK10" s="480"/>
      <c r="AL10" s="481"/>
      <c r="AM10" s="479"/>
      <c r="AN10" s="480"/>
      <c r="AO10" s="481"/>
      <c r="AP10" s="479"/>
      <c r="AQ10" s="480"/>
      <c r="AR10" s="481"/>
      <c r="AS10" s="479"/>
      <c r="AT10" s="480"/>
      <c r="AU10" s="481"/>
      <c r="AV10" s="479"/>
      <c r="AW10" s="480"/>
      <c r="AX10" s="481"/>
      <c r="AY10" s="479"/>
      <c r="AZ10" s="480"/>
      <c r="BA10" s="481"/>
      <c r="BB10" s="479"/>
      <c r="BC10" s="480"/>
      <c r="BD10" s="481"/>
      <c r="BE10" s="479"/>
      <c r="BF10" s="480"/>
      <c r="BG10" s="481"/>
      <c r="BH10" s="479"/>
      <c r="BI10" s="480"/>
      <c r="BJ10" s="481"/>
      <c r="BK10" s="479"/>
      <c r="BL10" s="480"/>
      <c r="BM10" s="481"/>
      <c r="BN10" s="479"/>
      <c r="BO10" s="480"/>
      <c r="BP10" s="481"/>
      <c r="BQ10" s="479"/>
      <c r="BR10" s="480"/>
      <c r="BS10" s="481"/>
      <c r="BT10" s="479"/>
      <c r="BU10" s="480"/>
      <c r="BV10" s="481"/>
      <c r="BW10" s="479"/>
      <c r="BX10" s="480"/>
      <c r="BY10" s="480"/>
      <c r="BZ10" s="485"/>
      <c r="CA10" s="485"/>
      <c r="CB10" s="485"/>
      <c r="CC10" s="479"/>
      <c r="CD10" s="480"/>
      <c r="CE10" s="481"/>
      <c r="CF10" s="479"/>
      <c r="CG10" s="480"/>
      <c r="CH10" s="481"/>
      <c r="CI10" s="479"/>
      <c r="CJ10" s="480"/>
      <c r="CK10" s="481"/>
      <c r="CL10" s="479"/>
      <c r="CM10" s="480"/>
      <c r="CN10" s="481"/>
      <c r="CO10" s="479"/>
      <c r="CP10" s="480"/>
      <c r="CQ10" s="481"/>
      <c r="CR10" s="479"/>
      <c r="CS10" s="480"/>
      <c r="CT10" s="481"/>
      <c r="CU10" s="479"/>
      <c r="CV10" s="480"/>
      <c r="CW10" s="481"/>
      <c r="CX10" s="479"/>
      <c r="CY10" s="480"/>
      <c r="CZ10" s="481"/>
      <c r="DA10" s="479"/>
      <c r="DB10" s="480"/>
      <c r="DC10" s="481"/>
      <c r="DD10" s="485"/>
      <c r="DE10" s="485"/>
      <c r="DF10" s="485"/>
      <c r="DG10" s="479"/>
      <c r="DH10" s="480"/>
      <c r="DI10" s="481"/>
      <c r="DJ10" s="489"/>
      <c r="DK10" s="490"/>
      <c r="DL10" s="491"/>
      <c r="DM10" s="317"/>
      <c r="DN10" s="318"/>
      <c r="DO10" s="318"/>
      <c r="DP10" s="320"/>
      <c r="DQ10" s="320"/>
      <c r="DR10" s="320"/>
      <c r="DS10" s="318"/>
      <c r="DT10" s="318"/>
      <c r="DU10" s="318"/>
      <c r="DV10" s="318"/>
      <c r="DW10" s="318"/>
      <c r="DX10" s="319"/>
      <c r="DY10" s="489"/>
      <c r="DZ10" s="490"/>
      <c r="EA10" s="491"/>
      <c r="EB10" s="489"/>
      <c r="EC10" s="490"/>
      <c r="ED10" s="491"/>
      <c r="EE10" s="489"/>
      <c r="EF10" s="490"/>
      <c r="EG10" s="491"/>
      <c r="EH10" s="489"/>
      <c r="EI10" s="490"/>
      <c r="EJ10" s="491"/>
      <c r="EK10" s="479"/>
      <c r="EL10" s="480"/>
      <c r="EM10" s="481"/>
      <c r="EN10" s="479"/>
      <c r="EO10" s="480"/>
      <c r="EP10" s="481"/>
      <c r="EQ10" s="479"/>
      <c r="ER10" s="480"/>
      <c r="ES10" s="481"/>
      <c r="ET10" s="485"/>
      <c r="EU10" s="485"/>
      <c r="EV10" s="485"/>
      <c r="EW10" s="479"/>
      <c r="EX10" s="480"/>
      <c r="EY10" s="481"/>
    </row>
    <row r="11" spans="1:159" s="169" customFormat="1" ht="177.75" customHeight="1">
      <c r="A11" s="485"/>
      <c r="B11" s="485"/>
      <c r="C11" s="482"/>
      <c r="D11" s="483"/>
      <c r="E11" s="509"/>
      <c r="F11" s="482"/>
      <c r="G11" s="483"/>
      <c r="H11" s="484"/>
      <c r="I11" s="482"/>
      <c r="J11" s="483"/>
      <c r="K11" s="484"/>
      <c r="L11" s="482"/>
      <c r="M11" s="483"/>
      <c r="N11" s="484"/>
      <c r="O11" s="482"/>
      <c r="P11" s="483"/>
      <c r="Q11" s="484"/>
      <c r="R11" s="482"/>
      <c r="S11" s="483"/>
      <c r="T11" s="484"/>
      <c r="U11" s="482"/>
      <c r="V11" s="483"/>
      <c r="W11" s="484"/>
      <c r="X11" s="482"/>
      <c r="Y11" s="483"/>
      <c r="Z11" s="484"/>
      <c r="AA11" s="482"/>
      <c r="AB11" s="483"/>
      <c r="AC11" s="484"/>
      <c r="AD11" s="482"/>
      <c r="AE11" s="483"/>
      <c r="AF11" s="484"/>
      <c r="AG11" s="485"/>
      <c r="AH11" s="485"/>
      <c r="AI11" s="485"/>
      <c r="AJ11" s="482"/>
      <c r="AK11" s="483"/>
      <c r="AL11" s="484"/>
      <c r="AM11" s="482"/>
      <c r="AN11" s="483"/>
      <c r="AO11" s="484"/>
      <c r="AP11" s="482"/>
      <c r="AQ11" s="483"/>
      <c r="AR11" s="484"/>
      <c r="AS11" s="482"/>
      <c r="AT11" s="483"/>
      <c r="AU11" s="484"/>
      <c r="AV11" s="482"/>
      <c r="AW11" s="483"/>
      <c r="AX11" s="484"/>
      <c r="AY11" s="482"/>
      <c r="AZ11" s="483"/>
      <c r="BA11" s="484"/>
      <c r="BB11" s="482"/>
      <c r="BC11" s="483"/>
      <c r="BD11" s="484"/>
      <c r="BE11" s="482"/>
      <c r="BF11" s="483"/>
      <c r="BG11" s="484"/>
      <c r="BH11" s="482"/>
      <c r="BI11" s="483"/>
      <c r="BJ11" s="484"/>
      <c r="BK11" s="482"/>
      <c r="BL11" s="483"/>
      <c r="BM11" s="484"/>
      <c r="BN11" s="482"/>
      <c r="BO11" s="483"/>
      <c r="BP11" s="484"/>
      <c r="BQ11" s="482"/>
      <c r="BR11" s="483"/>
      <c r="BS11" s="484"/>
      <c r="BT11" s="482"/>
      <c r="BU11" s="483"/>
      <c r="BV11" s="484"/>
      <c r="BW11" s="482"/>
      <c r="BX11" s="483"/>
      <c r="BY11" s="483"/>
      <c r="BZ11" s="485"/>
      <c r="CA11" s="485"/>
      <c r="CB11" s="485"/>
      <c r="CC11" s="482"/>
      <c r="CD11" s="483"/>
      <c r="CE11" s="484"/>
      <c r="CF11" s="482"/>
      <c r="CG11" s="483"/>
      <c r="CH11" s="484"/>
      <c r="CI11" s="482"/>
      <c r="CJ11" s="483"/>
      <c r="CK11" s="484"/>
      <c r="CL11" s="482"/>
      <c r="CM11" s="483"/>
      <c r="CN11" s="484"/>
      <c r="CO11" s="482"/>
      <c r="CP11" s="483"/>
      <c r="CQ11" s="484"/>
      <c r="CR11" s="482"/>
      <c r="CS11" s="483"/>
      <c r="CT11" s="484"/>
      <c r="CU11" s="482"/>
      <c r="CV11" s="483"/>
      <c r="CW11" s="484"/>
      <c r="CX11" s="482"/>
      <c r="CY11" s="483"/>
      <c r="CZ11" s="484"/>
      <c r="DA11" s="482"/>
      <c r="DB11" s="483"/>
      <c r="DC11" s="484"/>
      <c r="DD11" s="485"/>
      <c r="DE11" s="485"/>
      <c r="DF11" s="485"/>
      <c r="DG11" s="482"/>
      <c r="DH11" s="483"/>
      <c r="DI11" s="484"/>
      <c r="DJ11" s="492"/>
      <c r="DK11" s="493"/>
      <c r="DL11" s="494"/>
      <c r="DM11" s="492" t="s">
        <v>173</v>
      </c>
      <c r="DN11" s="493"/>
      <c r="DO11" s="494"/>
      <c r="DP11" s="495" t="s">
        <v>174</v>
      </c>
      <c r="DQ11" s="496"/>
      <c r="DR11" s="497"/>
      <c r="DS11" s="492" t="s">
        <v>175</v>
      </c>
      <c r="DT11" s="493"/>
      <c r="DU11" s="494"/>
      <c r="DV11" s="492" t="s">
        <v>250</v>
      </c>
      <c r="DW11" s="493"/>
      <c r="DX11" s="494"/>
      <c r="DY11" s="492"/>
      <c r="DZ11" s="493"/>
      <c r="EA11" s="494"/>
      <c r="EB11" s="492"/>
      <c r="EC11" s="493"/>
      <c r="ED11" s="494"/>
      <c r="EE11" s="492"/>
      <c r="EF11" s="493"/>
      <c r="EG11" s="494"/>
      <c r="EH11" s="492"/>
      <c r="EI11" s="493"/>
      <c r="EJ11" s="494"/>
      <c r="EK11" s="482"/>
      <c r="EL11" s="483"/>
      <c r="EM11" s="484"/>
      <c r="EN11" s="482"/>
      <c r="EO11" s="483"/>
      <c r="EP11" s="484"/>
      <c r="EQ11" s="482"/>
      <c r="ER11" s="483"/>
      <c r="ES11" s="484"/>
      <c r="ET11" s="485"/>
      <c r="EU11" s="485"/>
      <c r="EV11" s="485"/>
      <c r="EW11" s="482"/>
      <c r="EX11" s="483"/>
      <c r="EY11" s="484"/>
      <c r="FA11" s="174"/>
      <c r="FB11" s="174"/>
      <c r="FC11" s="174"/>
    </row>
    <row r="12" spans="1:159" s="169" customFormat="1" ht="42.75" customHeight="1">
      <c r="A12" s="485"/>
      <c r="B12" s="485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12">
        <f>F14+BZ14</f>
        <v>3499.893</v>
      </c>
      <c r="D14" s="415">
        <f t="shared" ref="D14:D29" si="0">G14+CA14+CY14</f>
        <v>3107.5812000000001</v>
      </c>
      <c r="E14" s="184">
        <f t="shared" ref="E14:E29" si="1">D14/C14*100</f>
        <v>88.790748745747379</v>
      </c>
      <c r="F14" s="185">
        <f t="shared" ref="F14:F29" si="2">I14+X14+AA14+AD14+AG14+AM14+AS14+BE14+BQ14+BN14+AJ14+AY14+L14+R14+O14+U14+AP14</f>
        <v>602.89</v>
      </c>
      <c r="G14" s="185">
        <f t="shared" ref="G14:G29" si="3">J14+Y14+AB14+AE14+AH14+AN14+AT14+BF14+AK14+BR14+BO14+AZ14+M14+S14+P14+V14+AQ14</f>
        <v>491.24802</v>
      </c>
      <c r="H14" s="184">
        <f>G14/F14*100</f>
        <v>81.482197415780661</v>
      </c>
      <c r="I14" s="290">
        <f>Але!C6</f>
        <v>69</v>
      </c>
      <c r="J14" s="290">
        <f>Але!D6</f>
        <v>63.608339999999998</v>
      </c>
      <c r="K14" s="184">
        <f>J14/I14*100</f>
        <v>92.186000000000007</v>
      </c>
      <c r="L14" s="184">
        <f>Але!C8</f>
        <v>82.02</v>
      </c>
      <c r="M14" s="184">
        <f>Але!D8</f>
        <v>94.643519999999995</v>
      </c>
      <c r="N14" s="184">
        <f>M14/L14*100</f>
        <v>115.39078273591808</v>
      </c>
      <c r="O14" s="184">
        <f>Але!C9</f>
        <v>0.88</v>
      </c>
      <c r="P14" s="184">
        <f>Але!D9</f>
        <v>0.89832999999999996</v>
      </c>
      <c r="Q14" s="184">
        <f>P14/O14*100</f>
        <v>102.08295454545453</v>
      </c>
      <c r="R14" s="184">
        <f>Але!C10</f>
        <v>136.99</v>
      </c>
      <c r="S14" s="184">
        <f>Але!D10</f>
        <v>138.47208000000001</v>
      </c>
      <c r="T14" s="184">
        <f>S14/R14*100</f>
        <v>101.08188918899191</v>
      </c>
      <c r="U14" s="184">
        <f>Але!C11</f>
        <v>0</v>
      </c>
      <c r="V14" s="419">
        <f>Але!D11</f>
        <v>-21.11505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29.962489999999999</v>
      </c>
      <c r="AC14" s="184">
        <f>AB14/AA14*100</f>
        <v>74.906224999999992</v>
      </c>
      <c r="AD14" s="186">
        <f>Але!C16</f>
        <v>210</v>
      </c>
      <c r="AE14" s="186">
        <f>Але!D16</f>
        <v>180.17831000000001</v>
      </c>
      <c r="AF14" s="184">
        <f t="shared" ref="AF14:AF29" si="4">AE14/AD14*100</f>
        <v>85.799195238095237</v>
      </c>
      <c r="AG14" s="184">
        <f>Але!C18</f>
        <v>3</v>
      </c>
      <c r="AH14" s="184">
        <f>Але!D18</f>
        <v>4.5999999999999996</v>
      </c>
      <c r="AI14" s="184">
        <f>AH14/AG14*100</f>
        <v>153.33333333333331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462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2897.0030000000002</v>
      </c>
      <c r="CA14" s="186">
        <f>CD14+CG14+CJ14+CM14+CS14+CP14+CV14</f>
        <v>2616.3331800000001</v>
      </c>
      <c r="CB14" s="184">
        <f>CA14/BZ14*100</f>
        <v>90.31171800650533</v>
      </c>
      <c r="CC14" s="187">
        <f>Але!C39</f>
        <v>1200.0540000000001</v>
      </c>
      <c r="CD14" s="187">
        <f>Але!D39</f>
        <v>1131.0150000000001</v>
      </c>
      <c r="CE14" s="184">
        <f>CD14/CC14*100</f>
        <v>94.247008884600191</v>
      </c>
      <c r="CF14" s="184">
        <f>Але!C40</f>
        <v>816.60500000000002</v>
      </c>
      <c r="CG14" s="184">
        <f>Але!D40</f>
        <v>745</v>
      </c>
      <c r="CH14" s="184">
        <f>CG14/CF14*100</f>
        <v>91.23137869594234</v>
      </c>
      <c r="CI14" s="184">
        <f>Але!C41</f>
        <v>652.58699999999999</v>
      </c>
      <c r="CJ14" s="184">
        <f>Але!D41</f>
        <v>442.00099999999998</v>
      </c>
      <c r="CK14" s="184">
        <f t="shared" ref="CK14:CK29" si="7">CJ14/CI14*100</f>
        <v>67.730586113422419</v>
      </c>
      <c r="CL14" s="184">
        <f>Але!C42</f>
        <v>87.757000000000005</v>
      </c>
      <c r="CM14" s="184">
        <f>Але!D42</f>
        <v>85.376999999999995</v>
      </c>
      <c r="CN14" s="184">
        <f t="shared" ref="CN14:CN31" si="8">CM14/CL14*100</f>
        <v>97.287965632371197</v>
      </c>
      <c r="CO14" s="184"/>
      <c r="CP14" s="184"/>
      <c r="CQ14" s="184"/>
      <c r="CR14" s="184">
        <f>Але!C43</f>
        <v>140</v>
      </c>
      <c r="CS14" s="184">
        <f>Але!D43</f>
        <v>215.10776999999999</v>
      </c>
      <c r="CT14" s="184">
        <f t="shared" ref="CT14:CT31" si="9">CS14/CR14*100</f>
        <v>153.64840714285714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3523.5285400000002</v>
      </c>
      <c r="DH14" s="186">
        <f>DK14+DZ14+EC14+EF14+EI14+EL14+EO14+ER14+EU14</f>
        <v>2913.8183799999997</v>
      </c>
      <c r="DI14" s="184">
        <f>DH14/DG14*100</f>
        <v>82.696034583559793</v>
      </c>
      <c r="DJ14" s="186">
        <f>DM14+DP14+DS14+DV14</f>
        <v>1097.9860000000001</v>
      </c>
      <c r="DK14" s="186">
        <f>DN14+DQ14+DT14+DW14</f>
        <v>918.19448999999997</v>
      </c>
      <c r="DL14" s="184">
        <f>DK14/DJ14*100</f>
        <v>83.625336752927623</v>
      </c>
      <c r="DM14" s="184">
        <f>Але!C54</f>
        <v>1090.604</v>
      </c>
      <c r="DN14" s="184">
        <f>Але!D54</f>
        <v>915.81299000000001</v>
      </c>
      <c r="DO14" s="184">
        <f>DN14/DM14*100</f>
        <v>83.973008534720208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85.376999999999995</v>
      </c>
      <c r="DZ14" s="184">
        <f>Але!D61</f>
        <v>70.385999999999996</v>
      </c>
      <c r="EA14" s="184">
        <f>DZ14/DY14*100</f>
        <v>82.441406936294314</v>
      </c>
      <c r="EB14" s="184">
        <f>Але!C62</f>
        <v>11.731</v>
      </c>
      <c r="EC14" s="184">
        <f>Але!D62</f>
        <v>9.8558299999999992</v>
      </c>
      <c r="ED14" s="184">
        <f>EC14/EB14*100</f>
        <v>84.015258716221979</v>
      </c>
      <c r="EE14" s="186">
        <f>Але!C67</f>
        <v>1139.57754</v>
      </c>
      <c r="EF14" s="186">
        <f>Але!D67</f>
        <v>810.52530999999999</v>
      </c>
      <c r="EG14" s="184">
        <f>EF14/EE14*100</f>
        <v>71.12506885665718</v>
      </c>
      <c r="EH14" s="186">
        <f>Але!C72</f>
        <v>319.50700000000001</v>
      </c>
      <c r="EI14" s="186">
        <f>Але!D72</f>
        <v>266.52075000000002</v>
      </c>
      <c r="EJ14" s="184">
        <f>EI14/EH14*100</f>
        <v>83.416247531352994</v>
      </c>
      <c r="EK14" s="186">
        <f>Але!C76</f>
        <v>865.5</v>
      </c>
      <c r="EL14" s="190">
        <f>Але!D76</f>
        <v>834.48599999999999</v>
      </c>
      <c r="EM14" s="184">
        <f t="shared" ref="EM14:EM29" si="10">EL14/EK14*100</f>
        <v>96.416637781629106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3.85</v>
      </c>
      <c r="ER14" s="185">
        <f>Але!D83</f>
        <v>3.85</v>
      </c>
      <c r="ES14" s="184">
        <f>ER14/EQ14*100</f>
        <v>100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193.76282000000037</v>
      </c>
      <c r="EY14" s="184">
        <f>EX14/EW14*100%</f>
        <v>-8.1979434360289023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12">
        <f t="shared" ref="C15:C29" si="14">F15+BZ15</f>
        <v>10556.246230000001</v>
      </c>
      <c r="D15" s="415">
        <f>G15+CA15+CY15</f>
        <v>9058.6828499999992</v>
      </c>
      <c r="E15" s="187">
        <f t="shared" si="1"/>
        <v>85.813485709114602</v>
      </c>
      <c r="F15" s="185">
        <f t="shared" si="2"/>
        <v>3954.0432300000002</v>
      </c>
      <c r="G15" s="185">
        <f>J15+Y15+AB15+AE15+AH15+AN15+AT15+BF15+AK15+BR15+BO15+AZ15+M15+S15+P15+V15+AQ15</f>
        <v>3818.3868799999996</v>
      </c>
      <c r="H15" s="187">
        <f t="shared" ref="H15:H29" si="15">G15/F15*100</f>
        <v>96.569173827672074</v>
      </c>
      <c r="I15" s="195">
        <f>Сун!C6</f>
        <v>482.9</v>
      </c>
      <c r="J15" s="195">
        <f>Сун!D6</f>
        <v>367.01321000000002</v>
      </c>
      <c r="K15" s="187">
        <f t="shared" ref="K15:K29" si="16">J15/I15*100</f>
        <v>76.001907227169198</v>
      </c>
      <c r="L15" s="187">
        <f>Сун!C8</f>
        <v>208.63</v>
      </c>
      <c r="M15" s="187">
        <f>Сун!D8</f>
        <v>240.74373</v>
      </c>
      <c r="N15" s="184">
        <f t="shared" ref="N15:N29" si="17">M15/L15*100</f>
        <v>115.3926712361597</v>
      </c>
      <c r="O15" s="184">
        <f>Сун!C9</f>
        <v>2.2000000000000002</v>
      </c>
      <c r="P15" s="184">
        <f>Сун!D9</f>
        <v>2.2850899999999998</v>
      </c>
      <c r="Q15" s="184">
        <f t="shared" ref="Q15:Q29" si="18">P15/O15*100</f>
        <v>103.86772727272727</v>
      </c>
      <c r="R15" s="184">
        <f>Сун!C10</f>
        <v>391.31322999999998</v>
      </c>
      <c r="S15" s="184">
        <f>Сун!D10</f>
        <v>352.22991999999999</v>
      </c>
      <c r="T15" s="184">
        <f t="shared" ref="T15:T29" si="19">S15/R15*100</f>
        <v>90.012269710380096</v>
      </c>
      <c r="U15" s="184">
        <f>Сун!C11</f>
        <v>0</v>
      </c>
      <c r="V15" s="419">
        <f>Сун!D11</f>
        <v>-53.71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23.733529999999998</v>
      </c>
      <c r="Z15" s="187">
        <f t="shared" ref="Z15:Z29" si="21">Y15/X15*100</f>
        <v>59.333824999999997</v>
      </c>
      <c r="AA15" s="195">
        <f>Сун!C15</f>
        <v>495</v>
      </c>
      <c r="AB15" s="195">
        <f>Сун!D15</f>
        <v>887.19515000000001</v>
      </c>
      <c r="AC15" s="187">
        <f t="shared" ref="AC15:AC29" si="22">AB15/AA15*100</f>
        <v>179.23134343434344</v>
      </c>
      <c r="AD15" s="195">
        <f>Сун!C16</f>
        <v>1250</v>
      </c>
      <c r="AE15" s="195">
        <f>Сун!D16</f>
        <v>1006.88661</v>
      </c>
      <c r="AF15" s="187">
        <f t="shared" si="4"/>
        <v>80.550928799999994</v>
      </c>
      <c r="AG15" s="187">
        <f>Сун!C18</f>
        <v>12</v>
      </c>
      <c r="AH15" s="187">
        <f>Сун!D18</f>
        <v>15.175000000000001</v>
      </c>
      <c r="AI15" s="187">
        <f t="shared" ref="AI15:AI31" si="23">AH15/AG15*100</f>
        <v>126.45833333333334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63">
        <f>Сун!D28</f>
        <v>166.2</v>
      </c>
      <c r="AR15" s="187">
        <f t="shared" ref="AR15:AR29" si="24">AQ15/AP15*100</f>
        <v>83.1</v>
      </c>
      <c r="AS15" s="188">
        <f>Сун!C29</f>
        <v>86</v>
      </c>
      <c r="AT15" s="417">
        <f>Сун!D29</f>
        <v>44.329000000000001</v>
      </c>
      <c r="AU15" s="187">
        <f t="shared" ref="AU15:AU29" si="25">AT15/AS15*100</f>
        <v>51.545348837209303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175.10563999999999</v>
      </c>
      <c r="BA15" s="187">
        <f t="shared" ref="BA15:BA31" si="27">AZ15/AY15*100</f>
        <v>87.552819999999997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8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6602.2030000000004</v>
      </c>
      <c r="CA15" s="186">
        <f t="shared" ref="CA15:CA29" si="35">CD15+CG15+CJ15+CM15+CS15+CP15+CV15</f>
        <v>5240.2959700000001</v>
      </c>
      <c r="CB15" s="187">
        <f>CA15/BZ15*100</f>
        <v>79.371930399595399</v>
      </c>
      <c r="CC15" s="187">
        <f>Сун!C42</f>
        <v>3556.511</v>
      </c>
      <c r="CD15" s="187">
        <f>Сун!D42</f>
        <v>3345.2069999999999</v>
      </c>
      <c r="CE15" s="187">
        <f t="shared" ref="CE15:CE29" si="36">CD15/CC15*100</f>
        <v>94.058671546355399</v>
      </c>
      <c r="CF15" s="187">
        <f>Сун!C43</f>
        <v>150</v>
      </c>
      <c r="CG15" s="187">
        <f>Сун!D43</f>
        <v>0</v>
      </c>
      <c r="CH15" s="187">
        <f t="shared" ref="CH15:CH29" si="37">CG15/CF15*100</f>
        <v>0</v>
      </c>
      <c r="CI15" s="237">
        <f>Сун!C44</f>
        <v>2311.98</v>
      </c>
      <c r="CJ15" s="187">
        <f>Сун!D44</f>
        <v>1311.752</v>
      </c>
      <c r="CK15" s="187">
        <f t="shared" si="7"/>
        <v>56.737169006652302</v>
      </c>
      <c r="CL15" s="187">
        <f>Сун!C46</f>
        <v>174.10900000000001</v>
      </c>
      <c r="CM15" s="187">
        <f>Сун!D46</f>
        <v>173.73599999999999</v>
      </c>
      <c r="CN15" s="187">
        <f t="shared" si="8"/>
        <v>99.785766387722617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10657.816780000001</v>
      </c>
      <c r="DH15" s="195">
        <f t="shared" ref="DG15:DH29" si="39">DK15+DZ15+EC15+EF15+EI15+EL15+EO15+ER15+EU15</f>
        <v>7688.3848099999996</v>
      </c>
      <c r="DI15" s="187">
        <f t="shared" ref="DI15:DI29" si="40">DH15/DG15*100</f>
        <v>72.138459205150625</v>
      </c>
      <c r="DJ15" s="195">
        <f>DM15+DP15+DS15+DV15</f>
        <v>1851.9180000000001</v>
      </c>
      <c r="DK15" s="195">
        <f t="shared" ref="DJ15:DK29" si="41">DN15+DQ15+DT15+DW15</f>
        <v>1445.61067</v>
      </c>
      <c r="DL15" s="187">
        <f t="shared" ref="DL15:DL29" si="42">DK15/DJ15*100</f>
        <v>78.06018787008928</v>
      </c>
      <c r="DM15" s="187">
        <f>Сун!C59</f>
        <v>1840.8510000000001</v>
      </c>
      <c r="DN15" s="187">
        <f>Сун!D59</f>
        <v>1439.54367</v>
      </c>
      <c r="DO15" s="187">
        <f t="shared" ref="DO15:DO29" si="43">DN15/DM15*100</f>
        <v>78.199901567264263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170.749</v>
      </c>
      <c r="DZ15" s="187">
        <f>Сун!D66</f>
        <v>140.40186</v>
      </c>
      <c r="EA15" s="187">
        <f t="shared" ref="EA15:EA31" si="47">DZ15/DY15*100</f>
        <v>82.227046717696737</v>
      </c>
      <c r="EB15" s="187">
        <f>Сун!C67</f>
        <v>4.8029999999999999</v>
      </c>
      <c r="EC15" s="187">
        <f>Сун!D67</f>
        <v>2</v>
      </c>
      <c r="ED15" s="187">
        <f t="shared" ref="ED15:ED31" si="48">EC15/EB15*100</f>
        <v>41.640641265875495</v>
      </c>
      <c r="EE15" s="195">
        <f>Сун!C72</f>
        <v>3889.5487799999996</v>
      </c>
      <c r="EF15" s="195">
        <f>Сун!D72</f>
        <v>2975.83187</v>
      </c>
      <c r="EG15" s="187">
        <f t="shared" ref="EG15:EG29" si="49">EF15/EE15*100</f>
        <v>76.508408515190297</v>
      </c>
      <c r="EH15" s="195">
        <f>Сун!C77</f>
        <v>973.35</v>
      </c>
      <c r="EI15" s="195">
        <f>Сун!D77</f>
        <v>536.11221</v>
      </c>
      <c r="EJ15" s="187">
        <f t="shared" ref="EJ15:EJ29" si="50">EI15/EH15*100</f>
        <v>55.079078440437669</v>
      </c>
      <c r="EK15" s="195">
        <f>Сун!C82</f>
        <v>3742.4479999999999</v>
      </c>
      <c r="EL15" s="197">
        <f>Сун!D82</f>
        <v>2567.8231999999998</v>
      </c>
      <c r="EM15" s="187">
        <f t="shared" si="10"/>
        <v>68.613463700764839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15.605</v>
      </c>
      <c r="ES15" s="187">
        <f t="shared" ref="ES15:ES29" si="51">ER15/EQ15*100</f>
        <v>78.025000000000006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1370.2980399999997</v>
      </c>
      <c r="EY15" s="184">
        <f>EX15/EW15*100%</f>
        <v>-13.491095991899174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13">
        <f t="shared" si="14"/>
        <v>11358.603220000003</v>
      </c>
      <c r="D16" s="415">
        <f t="shared" si="0"/>
        <v>10395.393250000001</v>
      </c>
      <c r="E16" s="187">
        <f t="shared" si="1"/>
        <v>91.519996329266959</v>
      </c>
      <c r="F16" s="185">
        <f t="shared" si="2"/>
        <v>1832.3034700000001</v>
      </c>
      <c r="G16" s="185">
        <f t="shared" si="3"/>
        <v>1529.0074000000002</v>
      </c>
      <c r="H16" s="187">
        <f t="shared" si="15"/>
        <v>83.447279614659038</v>
      </c>
      <c r="I16" s="291">
        <f>Иль!C6</f>
        <v>102.1</v>
      </c>
      <c r="J16" s="291">
        <f>Иль!D6</f>
        <v>78.681489999999997</v>
      </c>
      <c r="K16" s="187">
        <f t="shared" si="16"/>
        <v>77.063163565132214</v>
      </c>
      <c r="L16" s="187">
        <f>Иль!C8</f>
        <v>222.96</v>
      </c>
      <c r="M16" s="187">
        <f>Иль!D8</f>
        <v>257.28336000000002</v>
      </c>
      <c r="N16" s="184">
        <f t="shared" si="17"/>
        <v>115.39440258342304</v>
      </c>
      <c r="O16" s="184">
        <f>Иль!C9</f>
        <v>2.4</v>
      </c>
      <c r="P16" s="184">
        <f>Иль!D9</f>
        <v>2.4420999999999999</v>
      </c>
      <c r="Q16" s="184">
        <f t="shared" si="18"/>
        <v>101.75416666666668</v>
      </c>
      <c r="R16" s="184">
        <f>Иль!C10</f>
        <v>401.44346999999999</v>
      </c>
      <c r="S16" s="184">
        <f>Иль!D10</f>
        <v>376.42889000000002</v>
      </c>
      <c r="T16" s="184">
        <f t="shared" si="19"/>
        <v>93.768841226885584</v>
      </c>
      <c r="U16" s="184">
        <f>Иль!C11</f>
        <v>0</v>
      </c>
      <c r="V16" s="419">
        <f>Иль!D11</f>
        <v>-57.400089999999999</v>
      </c>
      <c r="W16" s="184" t="e">
        <f t="shared" si="20"/>
        <v>#DIV/0!</v>
      </c>
      <c r="X16" s="195">
        <f>Иль!C13</f>
        <v>10</v>
      </c>
      <c r="Y16" s="195">
        <f>Иль!D13</f>
        <v>3.5836100000000002</v>
      </c>
      <c r="Z16" s="187">
        <f t="shared" si="21"/>
        <v>35.836100000000002</v>
      </c>
      <c r="AA16" s="195">
        <f>Иль!C15</f>
        <v>183.4</v>
      </c>
      <c r="AB16" s="195">
        <f>Иль!D15</f>
        <v>109.41936</v>
      </c>
      <c r="AC16" s="187">
        <f t="shared" si="22"/>
        <v>59.661592148309708</v>
      </c>
      <c r="AD16" s="195">
        <f>Иль!C16</f>
        <v>785</v>
      </c>
      <c r="AE16" s="195">
        <f>Иль!D16</f>
        <v>641.28507000000002</v>
      </c>
      <c r="AF16" s="187">
        <f t="shared" si="4"/>
        <v>81.692365605095546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463">
        <f>Иль!D28</f>
        <v>89.231960000000001</v>
      </c>
      <c r="AR16" s="187">
        <f t="shared" si="24"/>
        <v>89.231960000000001</v>
      </c>
      <c r="AS16" s="188">
        <f>Иль!C29</f>
        <v>20</v>
      </c>
      <c r="AT16" s="417">
        <f>Иль!D29</f>
        <v>28.051649999999999</v>
      </c>
      <c r="AU16" s="187">
        <f t="shared" si="25"/>
        <v>140.25824999999998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8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9526.2997500000019</v>
      </c>
      <c r="CA16" s="186">
        <f t="shared" si="35"/>
        <v>8866.3858500000006</v>
      </c>
      <c r="CB16" s="187">
        <f>CA16/BZ16*100</f>
        <v>93.072715353093926</v>
      </c>
      <c r="CC16" s="187">
        <f>Иль!C42</f>
        <v>1972.912</v>
      </c>
      <c r="CD16" s="187">
        <f>Иль!D42</f>
        <v>1856.5930000000001</v>
      </c>
      <c r="CE16" s="187">
        <f t="shared" si="36"/>
        <v>94.104197247520418</v>
      </c>
      <c r="CF16" s="187">
        <f>Иль!C43</f>
        <v>570</v>
      </c>
      <c r="CG16" s="187">
        <f>Иль!D43</f>
        <v>150</v>
      </c>
      <c r="CH16" s="187">
        <f t="shared" si="37"/>
        <v>26.315789473684209</v>
      </c>
      <c r="CI16" s="184">
        <f>Иль!C44</f>
        <v>6692.0177700000004</v>
      </c>
      <c r="CJ16" s="187">
        <f>Иль!D44</f>
        <v>6595.5888500000001</v>
      </c>
      <c r="CK16" s="187">
        <f t="shared" si="7"/>
        <v>98.559045667327922</v>
      </c>
      <c r="CL16" s="187">
        <f>Иль!C46</f>
        <v>174.108</v>
      </c>
      <c r="CM16" s="187">
        <f>Иль!D46</f>
        <v>150.881</v>
      </c>
      <c r="CN16" s="187">
        <f t="shared" si="8"/>
        <v>86.659429779217504</v>
      </c>
      <c r="CO16" s="187">
        <f>Иль!C47</f>
        <v>3.9389799999999999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11469.421839999999</v>
      </c>
      <c r="DH16" s="195">
        <f t="shared" si="39"/>
        <v>9664.9749100000008</v>
      </c>
      <c r="DI16" s="187">
        <f t="shared" si="40"/>
        <v>84.267324411184106</v>
      </c>
      <c r="DJ16" s="195">
        <f t="shared" si="41"/>
        <v>1344.3119999999999</v>
      </c>
      <c r="DK16" s="195">
        <f t="shared" si="41"/>
        <v>1069.2775799999999</v>
      </c>
      <c r="DL16" s="187">
        <f t="shared" si="42"/>
        <v>79.540878903111775</v>
      </c>
      <c r="DM16" s="187">
        <f>Иль!C59</f>
        <v>1310.6289999999999</v>
      </c>
      <c r="DN16" s="187">
        <f>Иль!D59</f>
        <v>1044.24908</v>
      </c>
      <c r="DO16" s="187">
        <f t="shared" si="43"/>
        <v>79.675413866166551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170.749</v>
      </c>
      <c r="DZ16" s="187">
        <f>Иль!D66</f>
        <v>141.27784</v>
      </c>
      <c r="EA16" s="187">
        <f t="shared" si="47"/>
        <v>82.740068755893162</v>
      </c>
      <c r="EB16" s="187">
        <f>Иль!C67</f>
        <v>32.86692</v>
      </c>
      <c r="EC16" s="187">
        <f>Иль!D67</f>
        <v>26.933920000000001</v>
      </c>
      <c r="ED16" s="187">
        <f t="shared" si="48"/>
        <v>81.948415002075038</v>
      </c>
      <c r="EE16" s="195">
        <f>Иль!C73</f>
        <v>2164.9298800000001</v>
      </c>
      <c r="EF16" s="195">
        <f>Иль!D73</f>
        <v>1336.24262</v>
      </c>
      <c r="EG16" s="187">
        <f t="shared" si="49"/>
        <v>61.72221245336592</v>
      </c>
      <c r="EH16" s="195">
        <f>Иль!C80</f>
        <v>6389.1640399999997</v>
      </c>
      <c r="EI16" s="195">
        <f>Иль!D80</f>
        <v>5949.9612999999999</v>
      </c>
      <c r="EJ16" s="187">
        <f t="shared" si="50"/>
        <v>93.125818381711184</v>
      </c>
      <c r="EK16" s="195">
        <f>Иль!C84</f>
        <v>1357.4</v>
      </c>
      <c r="EL16" s="197">
        <f>Иль!D84</f>
        <v>1133.5026499999999</v>
      </c>
      <c r="EM16" s="187">
        <f t="shared" si="10"/>
        <v>83.505425814056267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10</v>
      </c>
      <c r="ER16" s="198">
        <f>Иль!D91</f>
        <v>7.7789999999999999</v>
      </c>
      <c r="ES16" s="187">
        <f t="shared" si="51"/>
        <v>77.790000000000006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-110.81861999999637</v>
      </c>
      <c r="EX16" s="191">
        <f t="shared" si="13"/>
        <v>730.41834000000017</v>
      </c>
      <c r="EY16" s="184">
        <f>EX16/EW16*100</f>
        <v>-659.11156446454947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13">
        <f t="shared" si="14"/>
        <v>6985.9599800000015</v>
      </c>
      <c r="D17" s="415">
        <f t="shared" si="0"/>
        <v>6074.4061799999999</v>
      </c>
      <c r="E17" s="187">
        <f t="shared" si="1"/>
        <v>86.95163152079779</v>
      </c>
      <c r="F17" s="185">
        <f t="shared" si="2"/>
        <v>4238.8600000000006</v>
      </c>
      <c r="G17" s="185">
        <f t="shared" si="3"/>
        <v>3451.9650799999999</v>
      </c>
      <c r="H17" s="187">
        <f t="shared" si="15"/>
        <v>81.436166327739045</v>
      </c>
      <c r="I17" s="195">
        <f>Кад!C6</f>
        <v>456.3</v>
      </c>
      <c r="J17" s="195">
        <f>Кад!D6</f>
        <v>390.92466000000002</v>
      </c>
      <c r="K17" s="187">
        <f t="shared" si="16"/>
        <v>85.672728468113078</v>
      </c>
      <c r="L17" s="187">
        <f>Кад!C8</f>
        <v>272.49</v>
      </c>
      <c r="M17" s="187">
        <f>Кад!D8</f>
        <v>306.90231</v>
      </c>
      <c r="N17" s="184">
        <f t="shared" si="17"/>
        <v>112.62883408565452</v>
      </c>
      <c r="O17" s="184">
        <f>Кад!C9</f>
        <v>2.85</v>
      </c>
      <c r="P17" s="184">
        <f>Кад!D9</f>
        <v>2.9130600000000002</v>
      </c>
      <c r="Q17" s="184">
        <f t="shared" si="18"/>
        <v>102.21263157894738</v>
      </c>
      <c r="R17" s="184">
        <f>Кад!C10</f>
        <v>444.22</v>
      </c>
      <c r="S17" s="184">
        <f>Кад!D10</f>
        <v>449.02591000000001</v>
      </c>
      <c r="T17" s="184">
        <f t="shared" si="19"/>
        <v>101.0818760974292</v>
      </c>
      <c r="U17" s="184">
        <f>Кад!C11</f>
        <v>0</v>
      </c>
      <c r="V17" s="419">
        <f>Кад!D11</f>
        <v>-68.470070000000007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216.34602000000001</v>
      </c>
      <c r="AC17" s="187">
        <f t="shared" si="22"/>
        <v>84.841576470588237</v>
      </c>
      <c r="AD17" s="195">
        <f>Кад!C16</f>
        <v>2661</v>
      </c>
      <c r="AE17" s="195">
        <f>Кад!D16</f>
        <v>2323.9324499999998</v>
      </c>
      <c r="AF17" s="187">
        <f t="shared" si="4"/>
        <v>87.333049605411489</v>
      </c>
      <c r="AG17" s="187">
        <f>Кад!C18</f>
        <v>25</v>
      </c>
      <c r="AH17" s="187">
        <f>Кад!D18</f>
        <v>21.3</v>
      </c>
      <c r="AI17" s="187">
        <f t="shared" si="23"/>
        <v>85.2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463">
        <f>Кад!D27</f>
        <v>-277.74849999999998</v>
      </c>
      <c r="AR17" s="187">
        <f t="shared" si="24"/>
        <v>-396.78357142857141</v>
      </c>
      <c r="AS17" s="188">
        <f>Кад!C28</f>
        <v>2</v>
      </c>
      <c r="AT17" s="417">
        <f>Кад!D28</f>
        <v>10</v>
      </c>
      <c r="AU17" s="187">
        <f t="shared" si="25"/>
        <v>500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44.111130000000003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8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4.5653800000000002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2747.0999800000004</v>
      </c>
      <c r="CA17" s="186">
        <f t="shared" si="35"/>
        <v>2622.4410999999996</v>
      </c>
      <c r="CB17" s="187">
        <f>CA17/BZ17*100</f>
        <v>95.462164431306903</v>
      </c>
      <c r="CC17" s="187">
        <f>Кад!C41</f>
        <v>1128.914</v>
      </c>
      <c r="CD17" s="187">
        <f>Кад!D41</f>
        <v>1065.7239999999999</v>
      </c>
      <c r="CE17" s="187">
        <f t="shared" si="36"/>
        <v>94.4025851393463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1190.3929800000001</v>
      </c>
      <c r="CJ17" s="187">
        <f>Кад!D43</f>
        <v>1134.605</v>
      </c>
      <c r="CK17" s="187">
        <f t="shared" si="7"/>
        <v>95.313482107396169</v>
      </c>
      <c r="CL17" s="187">
        <f>Кад!C45</f>
        <v>177.46700000000001</v>
      </c>
      <c r="CM17" s="187">
        <f>Кад!D45</f>
        <v>171.7861</v>
      </c>
      <c r="CN17" s="187">
        <f t="shared" si="8"/>
        <v>96.798897823257278</v>
      </c>
      <c r="CO17" s="187"/>
      <c r="CP17" s="187"/>
      <c r="CQ17" s="187"/>
      <c r="CR17" s="187">
        <f>Кад!C47</f>
        <v>250.32599999999999</v>
      </c>
      <c r="CS17" s="187">
        <f>Кад!D47</f>
        <v>250.32599999999999</v>
      </c>
      <c r="CT17" s="187">
        <f t="shared" si="9"/>
        <v>100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7662.7936799999989</v>
      </c>
      <c r="DH17" s="195">
        <f t="shared" si="39"/>
        <v>6647.2306699999999</v>
      </c>
      <c r="DI17" s="187">
        <f t="shared" si="40"/>
        <v>86.746830824238003</v>
      </c>
      <c r="DJ17" s="195">
        <f t="shared" si="41"/>
        <v>1603.8999999999999</v>
      </c>
      <c r="DK17" s="195">
        <f t="shared" si="41"/>
        <v>1346.4918499999999</v>
      </c>
      <c r="DL17" s="187">
        <f t="shared" si="42"/>
        <v>83.951109794874995</v>
      </c>
      <c r="DM17" s="187">
        <f>Кад!C57</f>
        <v>1593.7139999999999</v>
      </c>
      <c r="DN17" s="187">
        <f>Кад!D57</f>
        <v>1341.3848499999999</v>
      </c>
      <c r="DO17" s="187">
        <f t="shared" si="43"/>
        <v>84.167225110653476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5.1859999999999999</v>
      </c>
      <c r="DW17" s="187">
        <f>Кад!D62</f>
        <v>5.1070000000000002</v>
      </c>
      <c r="DX17" s="187">
        <f t="shared" si="46"/>
        <v>98.476667952178957</v>
      </c>
      <c r="DY17" s="187">
        <f>Кад!C64</f>
        <v>170.749</v>
      </c>
      <c r="DZ17" s="187">
        <f>Кад!D64</f>
        <v>138.90102999999999</v>
      </c>
      <c r="EA17" s="187">
        <f t="shared" si="47"/>
        <v>81.348078173225019</v>
      </c>
      <c r="EB17" s="187">
        <f>Кад!C65</f>
        <v>2.4</v>
      </c>
      <c r="EC17" s="187">
        <f>Кад!D65</f>
        <v>1.8</v>
      </c>
      <c r="ED17" s="187">
        <f t="shared" si="48"/>
        <v>75</v>
      </c>
      <c r="EE17" s="195">
        <f>Кад!C70</f>
        <v>2668.8626799999997</v>
      </c>
      <c r="EF17" s="195">
        <f>Кад!D70</f>
        <v>2539.0915399999999</v>
      </c>
      <c r="EG17" s="187">
        <f t="shared" si="49"/>
        <v>95.137586471852501</v>
      </c>
      <c r="EH17" s="195">
        <f>Кад!C75</f>
        <v>1092.3820000000001</v>
      </c>
      <c r="EI17" s="195">
        <f>Кад!D75</f>
        <v>829.24625000000003</v>
      </c>
      <c r="EJ17" s="187">
        <f t="shared" si="50"/>
        <v>75.911746074175511</v>
      </c>
      <c r="EK17" s="195">
        <f>Кад!C79</f>
        <v>2124.5</v>
      </c>
      <c r="EL17" s="197">
        <f>Кад!D79</f>
        <v>1791.7</v>
      </c>
      <c r="EM17" s="187">
        <f t="shared" si="10"/>
        <v>84.335137679453993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0</v>
      </c>
      <c r="ER17" s="198">
        <f>Кад!D86</f>
        <v>0</v>
      </c>
      <c r="ES17" s="187" t="e">
        <f t="shared" si="51"/>
        <v>#DIV/0!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-676.83369999999741</v>
      </c>
      <c r="EX17" s="191">
        <f t="shared" si="13"/>
        <v>-572.82448999999997</v>
      </c>
      <c r="EY17" s="184">
        <f>EX17/EW17*100</f>
        <v>84.632974096887054</v>
      </c>
      <c r="EZ17" s="192"/>
      <c r="FA17" s="193"/>
      <c r="FC17" s="193"/>
    </row>
    <row r="18" spans="1:170" s="234" customFormat="1" ht="15" customHeight="1">
      <c r="A18" s="225">
        <v>5</v>
      </c>
      <c r="B18" s="226" t="s">
        <v>308</v>
      </c>
      <c r="C18" s="414">
        <f t="shared" si="14"/>
        <v>9206.0519999999997</v>
      </c>
      <c r="D18" s="416">
        <f t="shared" si="0"/>
        <v>8369.593429999999</v>
      </c>
      <c r="E18" s="227">
        <f t="shared" si="1"/>
        <v>90.914036005879609</v>
      </c>
      <c r="F18" s="228">
        <f t="shared" si="2"/>
        <v>4296.0099999999993</v>
      </c>
      <c r="G18" s="228">
        <f t="shared" si="3"/>
        <v>3830.8929399999993</v>
      </c>
      <c r="H18" s="227">
        <f t="shared" si="15"/>
        <v>89.173277995162948</v>
      </c>
      <c r="I18" s="292">
        <f>Мор!C6</f>
        <v>1624.2</v>
      </c>
      <c r="J18" s="292">
        <f>Мор!D6</f>
        <v>1518.1426899999999</v>
      </c>
      <c r="K18" s="227">
        <f t="shared" si="16"/>
        <v>93.470181627878333</v>
      </c>
      <c r="L18" s="227">
        <f>Мор!C8</f>
        <v>130.59</v>
      </c>
      <c r="M18" s="227">
        <f>Мор!D8</f>
        <v>150.69452999999999</v>
      </c>
      <c r="N18" s="227">
        <f t="shared" si="17"/>
        <v>115.39515276820582</v>
      </c>
      <c r="O18" s="227">
        <f>Мор!C9</f>
        <v>1.4</v>
      </c>
      <c r="P18" s="227">
        <f>Мор!D9</f>
        <v>1.4303600000000001</v>
      </c>
      <c r="Q18" s="227">
        <f t="shared" si="18"/>
        <v>102.16857142857143</v>
      </c>
      <c r="R18" s="227">
        <f>Мор!C10</f>
        <v>218.12</v>
      </c>
      <c r="S18" s="227">
        <f>Мор!D10</f>
        <v>220.47975</v>
      </c>
      <c r="T18" s="227">
        <f t="shared" si="19"/>
        <v>101.08185860993947</v>
      </c>
      <c r="U18" s="227">
        <f>Мор!C11</f>
        <v>0</v>
      </c>
      <c r="V18" s="420">
        <f>Мор!D11</f>
        <v>-33.620040000000003</v>
      </c>
      <c r="W18" s="227" t="e">
        <f t="shared" si="20"/>
        <v>#DIV/0!</v>
      </c>
      <c r="X18" s="188">
        <f>Мор!C13</f>
        <v>75</v>
      </c>
      <c r="Y18" s="188">
        <f>Мор!D13</f>
        <v>75.141949999999994</v>
      </c>
      <c r="Z18" s="227">
        <f t="shared" si="21"/>
        <v>100.18926666666665</v>
      </c>
      <c r="AA18" s="188">
        <f>Мор!C15</f>
        <v>550</v>
      </c>
      <c r="AB18" s="188">
        <f>Мор!D15</f>
        <v>576.99014</v>
      </c>
      <c r="AC18" s="227">
        <f t="shared" si="22"/>
        <v>104.90729818181819</v>
      </c>
      <c r="AD18" s="188">
        <f>Мор!C16</f>
        <v>1676.7</v>
      </c>
      <c r="AE18" s="188">
        <f>Мор!D16</f>
        <v>1300.65968</v>
      </c>
      <c r="AF18" s="227">
        <f t="shared" si="4"/>
        <v>77.572593785411811</v>
      </c>
      <c r="AG18" s="227">
        <f>Мор!C18</f>
        <v>0</v>
      </c>
      <c r="AH18" s="227">
        <f>Мор!D18</f>
        <v>0</v>
      </c>
      <c r="AI18" s="227" t="e">
        <f t="shared" si="23"/>
        <v>#DIV/0!</v>
      </c>
      <c r="AJ18" s="227">
        <f>Мор!C22</f>
        <v>0</v>
      </c>
      <c r="AK18" s="227">
        <f>Мор!D22</f>
        <v>0</v>
      </c>
      <c r="AL18" s="227" t="e">
        <f t="shared" si="5"/>
        <v>#DIV/0!</v>
      </c>
      <c r="AM18" s="188">
        <v>0</v>
      </c>
      <c r="AN18" s="188"/>
      <c r="AO18" s="227" t="e">
        <f t="shared" si="6"/>
        <v>#DIV/0!</v>
      </c>
      <c r="AP18" s="188">
        <f>Мор!C27</f>
        <v>0</v>
      </c>
      <c r="AQ18" s="463">
        <f>Мор!D27</f>
        <v>0.17016000000000001</v>
      </c>
      <c r="AR18" s="227" t="e">
        <f t="shared" si="24"/>
        <v>#DIV/0!</v>
      </c>
      <c r="AS18" s="188">
        <f>Мор!C28</f>
        <v>10</v>
      </c>
      <c r="AT18" s="418">
        <f>Мор!D28</f>
        <v>0</v>
      </c>
      <c r="AU18" s="227">
        <f t="shared" si="25"/>
        <v>0</v>
      </c>
      <c r="AV18" s="188"/>
      <c r="AW18" s="188"/>
      <c r="AX18" s="227" t="e">
        <f t="shared" si="26"/>
        <v>#DIV/0!</v>
      </c>
      <c r="AY18" s="227">
        <f>Мор!C29</f>
        <v>10</v>
      </c>
      <c r="AZ18" s="227">
        <f>Мор!D29</f>
        <v>8.3664100000000001</v>
      </c>
      <c r="BA18" s="227">
        <f t="shared" si="27"/>
        <v>83.664099999999991</v>
      </c>
      <c r="BB18" s="227"/>
      <c r="BC18" s="227"/>
      <c r="BD18" s="227"/>
      <c r="BE18" s="227">
        <f>Мор!C33</f>
        <v>0</v>
      </c>
      <c r="BF18" s="227">
        <f>Мор!D33</f>
        <v>0</v>
      </c>
      <c r="BG18" s="227" t="e">
        <f>Мор!E33</f>
        <v>#DIV/0!</v>
      </c>
      <c r="BH18" s="227">
        <f>Мор!F33</f>
        <v>0</v>
      </c>
      <c r="BI18" s="227">
        <f>Мор!G33</f>
        <v>0</v>
      </c>
      <c r="BJ18" s="227">
        <f>Мор!H33</f>
        <v>0</v>
      </c>
      <c r="BK18" s="227">
        <f>Мор!I33</f>
        <v>0</v>
      </c>
      <c r="BL18" s="227">
        <f>Мор!J33</f>
        <v>0</v>
      </c>
      <c r="BM18" s="227">
        <f>Мор!K33</f>
        <v>0</v>
      </c>
      <c r="BN18" s="227">
        <f>Мор!C35</f>
        <v>0</v>
      </c>
      <c r="BO18" s="359">
        <f>Мор!D34</f>
        <v>23.957180000000001</v>
      </c>
      <c r="BP18" s="227" t="e">
        <f t="shared" si="30"/>
        <v>#DIV/0!</v>
      </c>
      <c r="BQ18" s="227">
        <f>Мор!C36</f>
        <v>0</v>
      </c>
      <c r="BR18" s="227">
        <f>Мор!D36</f>
        <v>-11.519869999999999</v>
      </c>
      <c r="BS18" s="227" t="e">
        <f t="shared" si="31"/>
        <v>#DIV/0!</v>
      </c>
      <c r="BT18" s="227"/>
      <c r="BU18" s="227"/>
      <c r="BV18" s="229" t="e">
        <f t="shared" si="32"/>
        <v>#DIV/0!</v>
      </c>
      <c r="BW18" s="229"/>
      <c r="BX18" s="229"/>
      <c r="BY18" s="229" t="e">
        <f t="shared" si="33"/>
        <v>#DIV/0!</v>
      </c>
      <c r="BZ18" s="188">
        <f t="shared" si="34"/>
        <v>4910.0419999999995</v>
      </c>
      <c r="CA18" s="186">
        <f t="shared" si="35"/>
        <v>4538.7004900000002</v>
      </c>
      <c r="CB18" s="227">
        <f t="shared" ref="CB18:CB31" si="53">CA18/BZ18*100</f>
        <v>92.437101149032955</v>
      </c>
      <c r="CC18" s="227">
        <f>Мор!C41</f>
        <v>4512.616</v>
      </c>
      <c r="CD18" s="227">
        <f>Мор!D41</f>
        <v>4243.6350000000002</v>
      </c>
      <c r="CE18" s="227">
        <f t="shared" si="36"/>
        <v>94.039355442608013</v>
      </c>
      <c r="CF18" s="227">
        <f>Мор!C42</f>
        <v>0</v>
      </c>
      <c r="CG18" s="227">
        <f>Мор!D42</f>
        <v>0</v>
      </c>
      <c r="CH18" s="227" t="e">
        <f t="shared" si="37"/>
        <v>#DIV/0!</v>
      </c>
      <c r="CI18" s="227">
        <f>Мор!C43</f>
        <v>261.73</v>
      </c>
      <c r="CJ18" s="227">
        <f>Мор!D43</f>
        <v>171.66</v>
      </c>
      <c r="CK18" s="227">
        <f t="shared" si="7"/>
        <v>65.586673289267566</v>
      </c>
      <c r="CL18" s="227">
        <f>Мор!C45</f>
        <v>15.396000000000001</v>
      </c>
      <c r="CM18" s="227">
        <f>Мор!D45</f>
        <v>1.3828</v>
      </c>
      <c r="CN18" s="227">
        <f t="shared" si="8"/>
        <v>8.9815536502987783</v>
      </c>
      <c r="CO18" s="227">
        <f>Мор!C46</f>
        <v>0</v>
      </c>
      <c r="CP18" s="227">
        <f>Мор!D46</f>
        <v>0</v>
      </c>
      <c r="CQ18" s="227" t="e">
        <f>CP18/CO18*100</f>
        <v>#DIV/0!</v>
      </c>
      <c r="CR18" s="227">
        <f>Мор!C48</f>
        <v>120.3</v>
      </c>
      <c r="CS18" s="227">
        <f>Мор!D48</f>
        <v>122.02269</v>
      </c>
      <c r="CT18" s="227">
        <f t="shared" si="9"/>
        <v>101.43199501246882</v>
      </c>
      <c r="CU18" s="227"/>
      <c r="CV18" s="227"/>
      <c r="CW18" s="227"/>
      <c r="CX18" s="188"/>
      <c r="CY18" s="188"/>
      <c r="CZ18" s="227" t="e">
        <f t="shared" si="38"/>
        <v>#DIV/0!</v>
      </c>
      <c r="DA18" s="227"/>
      <c r="DB18" s="227"/>
      <c r="DC18" s="227"/>
      <c r="DD18" s="227"/>
      <c r="DE18" s="227"/>
      <c r="DF18" s="227"/>
      <c r="DG18" s="188">
        <f t="shared" si="39"/>
        <v>9256.5641699999996</v>
      </c>
      <c r="DH18" s="188">
        <f t="shared" si="39"/>
        <v>7845.1028299999998</v>
      </c>
      <c r="DI18" s="227">
        <f t="shared" si="40"/>
        <v>84.751779233870963</v>
      </c>
      <c r="DJ18" s="188">
        <f t="shared" si="41"/>
        <v>1928.9889599999999</v>
      </c>
      <c r="DK18" s="188">
        <f t="shared" si="41"/>
        <v>1627.1770299999998</v>
      </c>
      <c r="DL18" s="227">
        <f t="shared" si="42"/>
        <v>84.353879868757772</v>
      </c>
      <c r="DM18" s="227">
        <f>Мор!C58</f>
        <v>1814.94796</v>
      </c>
      <c r="DN18" s="227">
        <f>Мор!D58</f>
        <v>1522.6360299999999</v>
      </c>
      <c r="DO18" s="227">
        <f t="shared" si="43"/>
        <v>83.894197715729547</v>
      </c>
      <c r="DP18" s="227">
        <f>Мор!C61</f>
        <v>68.039000000000001</v>
      </c>
      <c r="DQ18" s="227">
        <f>Мор!D61</f>
        <v>68.039000000000001</v>
      </c>
      <c r="DR18" s="227">
        <f t="shared" si="44"/>
        <v>100</v>
      </c>
      <c r="DS18" s="227">
        <f>Мор!C62</f>
        <v>2</v>
      </c>
      <c r="DT18" s="227">
        <f>Мор!D62</f>
        <v>0</v>
      </c>
      <c r="DU18" s="227">
        <f t="shared" si="45"/>
        <v>0</v>
      </c>
      <c r="DV18" s="227">
        <f>Мор!C63</f>
        <v>44.002000000000002</v>
      </c>
      <c r="DW18" s="227">
        <f>Мор!D63</f>
        <v>36.502000000000002</v>
      </c>
      <c r="DX18" s="227">
        <f t="shared" si="46"/>
        <v>82.955320212717609</v>
      </c>
      <c r="DY18" s="227">
        <f>Мор!C64</f>
        <v>0</v>
      </c>
      <c r="DZ18" s="227">
        <f>Мор!D64</f>
        <v>0</v>
      </c>
      <c r="EA18" s="227" t="e">
        <f t="shared" si="47"/>
        <v>#DIV/0!</v>
      </c>
      <c r="EB18" s="227">
        <f>Мор!C66</f>
        <v>15</v>
      </c>
      <c r="EC18" s="227">
        <f>Мор!D66</f>
        <v>0</v>
      </c>
      <c r="ED18" s="227">
        <f t="shared" si="48"/>
        <v>0</v>
      </c>
      <c r="EE18" s="188">
        <f>Мор!C71</f>
        <v>1596.5611699999999</v>
      </c>
      <c r="EF18" s="188">
        <f>Мор!D71</f>
        <v>894.82475999999997</v>
      </c>
      <c r="EG18" s="227">
        <f t="shared" si="49"/>
        <v>56.047007581926842</v>
      </c>
      <c r="EH18" s="188">
        <f>Мор!C76</f>
        <v>3341.7140399999998</v>
      </c>
      <c r="EI18" s="188">
        <f>Мор!D76</f>
        <v>2948.8010399999998</v>
      </c>
      <c r="EJ18" s="227">
        <f t="shared" si="50"/>
        <v>88.2421716730735</v>
      </c>
      <c r="EK18" s="188">
        <f>Мор!C80</f>
        <v>2374.3000000000002</v>
      </c>
      <c r="EL18" s="230">
        <f>Мор!D80</f>
        <v>2374.3000000000002</v>
      </c>
      <c r="EM18" s="227">
        <f t="shared" si="10"/>
        <v>100</v>
      </c>
      <c r="EN18" s="227">
        <f>Мор!C83</f>
        <v>0</v>
      </c>
      <c r="EO18" s="227">
        <f>Мор!D83</f>
        <v>0</v>
      </c>
      <c r="EP18" s="227" t="e">
        <f t="shared" si="11"/>
        <v>#DIV/0!</v>
      </c>
      <c r="EQ18" s="228">
        <f>Мор!C88</f>
        <v>0</v>
      </c>
      <c r="ER18" s="228">
        <f>Мор!D88</f>
        <v>0</v>
      </c>
      <c r="ES18" s="227" t="e">
        <f t="shared" si="51"/>
        <v>#DIV/0!</v>
      </c>
      <c r="ET18" s="227">
        <f>Мор!C94</f>
        <v>0</v>
      </c>
      <c r="EU18" s="227">
        <f>Мор!D94</f>
        <v>0</v>
      </c>
      <c r="EV18" s="227" t="e">
        <f t="shared" si="52"/>
        <v>#DIV/0!</v>
      </c>
      <c r="EW18" s="231">
        <f t="shared" si="12"/>
        <v>-50.512169999999969</v>
      </c>
      <c r="EX18" s="231">
        <f t="shared" si="13"/>
        <v>524.49059999999918</v>
      </c>
      <c r="EY18" s="227">
        <f t="shared" ref="EY18:EY30" si="54">EX18/EW18*100</f>
        <v>-1038.3450166563809</v>
      </c>
      <c r="EZ18" s="232"/>
      <c r="FA18" s="233"/>
      <c r="FC18" s="233"/>
    </row>
    <row r="19" spans="1:170" s="432" customFormat="1" ht="15" customHeight="1">
      <c r="A19" s="427">
        <v>6</v>
      </c>
      <c r="B19" s="194" t="s">
        <v>309</v>
      </c>
      <c r="C19" s="413">
        <f t="shared" si="14"/>
        <v>6754.9879999999994</v>
      </c>
      <c r="D19" s="415">
        <f t="shared" si="0"/>
        <v>5759.0455499999998</v>
      </c>
      <c r="E19" s="187">
        <f t="shared" si="1"/>
        <v>85.256192164960183</v>
      </c>
      <c r="F19" s="198">
        <f t="shared" si="2"/>
        <v>4833.7</v>
      </c>
      <c r="G19" s="198">
        <f t="shared" si="3"/>
        <v>4299.1956799999998</v>
      </c>
      <c r="H19" s="187">
        <f t="shared" si="15"/>
        <v>88.942128804021763</v>
      </c>
      <c r="I19" s="195">
        <f>Мос!C6</f>
        <v>1309.9000000000001</v>
      </c>
      <c r="J19" s="195">
        <f>Мос!D6</f>
        <v>1112.40716</v>
      </c>
      <c r="K19" s="187">
        <f t="shared" si="16"/>
        <v>84.923059775555373</v>
      </c>
      <c r="L19" s="187">
        <f>Мос!C8</f>
        <v>246.85</v>
      </c>
      <c r="M19" s="187">
        <f>Мос!D8</f>
        <v>284.84944000000002</v>
      </c>
      <c r="N19" s="187">
        <f t="shared" si="17"/>
        <v>115.39373708729998</v>
      </c>
      <c r="O19" s="187">
        <f>Мос!C9</f>
        <v>2.65</v>
      </c>
      <c r="P19" s="187">
        <f>Мос!D9</f>
        <v>2.7037300000000002</v>
      </c>
      <c r="Q19" s="187">
        <f t="shared" si="18"/>
        <v>102.02754716981133</v>
      </c>
      <c r="R19" s="187">
        <f>Мос!C10</f>
        <v>412.3</v>
      </c>
      <c r="S19" s="187">
        <f>Мос!D10</f>
        <v>416.76051000000001</v>
      </c>
      <c r="T19" s="187">
        <f t="shared" si="19"/>
        <v>101.08186029590105</v>
      </c>
      <c r="U19" s="187">
        <f>Мос!C11</f>
        <v>0</v>
      </c>
      <c r="V19" s="428">
        <f>Мос!D11</f>
        <v>-63.550069999999998</v>
      </c>
      <c r="W19" s="187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151.89312000000001</v>
      </c>
      <c r="AC19" s="187">
        <f t="shared" si="22"/>
        <v>79.943747368421057</v>
      </c>
      <c r="AD19" s="195">
        <f>Мос!C16</f>
        <v>2650</v>
      </c>
      <c r="AE19" s="195">
        <f>Мос!D16</f>
        <v>2357.5927799999999</v>
      </c>
      <c r="AF19" s="187">
        <f t="shared" si="4"/>
        <v>88.965765283018854</v>
      </c>
      <c r="AG19" s="187">
        <f>Мос!C18</f>
        <v>10</v>
      </c>
      <c r="AH19" s="187">
        <f>Мос!D18</f>
        <v>8.35</v>
      </c>
      <c r="AI19" s="187">
        <f t="shared" si="23"/>
        <v>83.5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63">
        <f>Мос!D27</f>
        <v>0</v>
      </c>
      <c r="AR19" s="187" t="e">
        <f t="shared" si="24"/>
        <v>#DIV/0!</v>
      </c>
      <c r="AS19" s="195">
        <f>Мос!C26</f>
        <v>2</v>
      </c>
      <c r="AT19" s="417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8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1921.288</v>
      </c>
      <c r="CA19" s="195">
        <f t="shared" si="35"/>
        <v>1459.84987</v>
      </c>
      <c r="CB19" s="187">
        <f t="shared" si="53"/>
        <v>75.982875550151775</v>
      </c>
      <c r="CC19" s="187">
        <f>Мос!C41</f>
        <v>35.76</v>
      </c>
      <c r="CD19" s="187">
        <f>Мос!D41</f>
        <v>35.453000000000003</v>
      </c>
      <c r="CE19" s="187">
        <f>CD19/CC19*100</f>
        <v>99.141498881431772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1336.52</v>
      </c>
      <c r="CJ19" s="187">
        <f>Мос!D43</f>
        <v>978.74787000000003</v>
      </c>
      <c r="CK19" s="187">
        <f t="shared" si="7"/>
        <v>73.231067997486008</v>
      </c>
      <c r="CL19" s="187">
        <f>Мос!C45</f>
        <v>174.108</v>
      </c>
      <c r="CM19" s="187">
        <f>Мос!D45</f>
        <v>170.749</v>
      </c>
      <c r="CN19" s="187">
        <f t="shared" si="8"/>
        <v>98.070737703034894</v>
      </c>
      <c r="CO19" s="187">
        <f>Мос!C47</f>
        <v>100</v>
      </c>
      <c r="CP19" s="187">
        <f>Мос!D46</f>
        <v>0</v>
      </c>
      <c r="CQ19" s="187">
        <f>CP19/CO19*100</f>
        <v>0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7083.2340100000001</v>
      </c>
      <c r="DH19" s="195">
        <f t="shared" si="39"/>
        <v>5348.1270199999999</v>
      </c>
      <c r="DI19" s="187">
        <f t="shared" si="40"/>
        <v>75.504028420486975</v>
      </c>
      <c r="DJ19" s="195">
        <f t="shared" si="41"/>
        <v>1836.9563800000001</v>
      </c>
      <c r="DK19" s="195">
        <f t="shared" si="41"/>
        <v>1631.7192500000001</v>
      </c>
      <c r="DL19" s="187">
        <f t="shared" si="42"/>
        <v>88.827326972238723</v>
      </c>
      <c r="DM19" s="187">
        <f>Мос!C58</f>
        <v>1808.37538</v>
      </c>
      <c r="DN19" s="187">
        <f>Мос!D58</f>
        <v>1610.22279</v>
      </c>
      <c r="DO19" s="187">
        <f t="shared" si="43"/>
        <v>89.042507866923088</v>
      </c>
      <c r="DP19" s="187">
        <f>Мос!C61</f>
        <v>16.698</v>
      </c>
      <c r="DQ19" s="187">
        <f>Мос!D61</f>
        <v>16.698</v>
      </c>
      <c r="DR19" s="187">
        <f t="shared" si="44"/>
        <v>100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6.883</v>
      </c>
      <c r="DW19" s="187">
        <f>Мос!D63</f>
        <v>4.7984600000000004</v>
      </c>
      <c r="DX19" s="187">
        <f t="shared" si="46"/>
        <v>69.714659305535392</v>
      </c>
      <c r="DY19" s="187">
        <f>Мос!C65</f>
        <v>170.749</v>
      </c>
      <c r="DZ19" s="187">
        <f>Мос!D65</f>
        <v>139.81990999999999</v>
      </c>
      <c r="EA19" s="187">
        <f t="shared" si="47"/>
        <v>81.886224809515724</v>
      </c>
      <c r="EB19" s="187">
        <f>Мос!C66</f>
        <v>11</v>
      </c>
      <c r="EC19" s="187">
        <f>Мос!D66</f>
        <v>2.4</v>
      </c>
      <c r="ED19" s="187">
        <f t="shared" si="48"/>
        <v>21.818181818181817</v>
      </c>
      <c r="EE19" s="195">
        <f>Мос!C71</f>
        <v>2935.5740100000003</v>
      </c>
      <c r="EF19" s="195">
        <f>Мос!D71</f>
        <v>2140.2371499999999</v>
      </c>
      <c r="EG19" s="187">
        <f t="shared" si="49"/>
        <v>72.906938905621388</v>
      </c>
      <c r="EH19" s="195">
        <f>Мос!C76</f>
        <v>991.35461999999995</v>
      </c>
      <c r="EI19" s="195">
        <f>Мос!D76</f>
        <v>590.55070999999998</v>
      </c>
      <c r="EJ19" s="187">
        <f t="shared" si="50"/>
        <v>59.570076951878228</v>
      </c>
      <c r="EK19" s="195">
        <f>Мос!C81</f>
        <v>1107.5999999999999</v>
      </c>
      <c r="EL19" s="197">
        <f>Мос!D81</f>
        <v>833.4</v>
      </c>
      <c r="EM19" s="187">
        <f t="shared" si="10"/>
        <v>75.243770314192844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30</v>
      </c>
      <c r="ER19" s="198">
        <f>Мос!D91</f>
        <v>10</v>
      </c>
      <c r="ES19" s="187">
        <f t="shared" si="51"/>
        <v>33.333333333333329</v>
      </c>
      <c r="ET19" s="187">
        <f>Мос!C97</f>
        <v>0</v>
      </c>
      <c r="EU19" s="187">
        <f>Мос!D97</f>
        <v>0</v>
      </c>
      <c r="EV19" s="187" t="e">
        <f t="shared" si="52"/>
        <v>#DIV/0!</v>
      </c>
      <c r="EW19" s="429">
        <f t="shared" si="12"/>
        <v>-328.24601000000075</v>
      </c>
      <c r="EX19" s="429">
        <f t="shared" si="13"/>
        <v>410.91852999999992</v>
      </c>
      <c r="EY19" s="187">
        <f t="shared" si="54"/>
        <v>-125.18614620783934</v>
      </c>
      <c r="EZ19" s="430"/>
      <c r="FA19" s="431"/>
      <c r="FC19" s="431"/>
    </row>
    <row r="20" spans="1:170" s="169" customFormat="1" ht="15" customHeight="1">
      <c r="A20" s="181">
        <v>7</v>
      </c>
      <c r="B20" s="194" t="s">
        <v>310</v>
      </c>
      <c r="C20" s="412">
        <f t="shared" si="14"/>
        <v>6012.7780000000002</v>
      </c>
      <c r="D20" s="415">
        <f t="shared" si="0"/>
        <v>5370.8560500000003</v>
      </c>
      <c r="E20" s="187">
        <f t="shared" si="1"/>
        <v>89.324037075707778</v>
      </c>
      <c r="F20" s="185">
        <f t="shared" si="2"/>
        <v>2702.3</v>
      </c>
      <c r="G20" s="185">
        <f t="shared" si="3"/>
        <v>2278.9437000000003</v>
      </c>
      <c r="H20" s="187">
        <f t="shared" si="15"/>
        <v>84.333482588905753</v>
      </c>
      <c r="I20" s="291">
        <f>Ори!C6</f>
        <v>262.3</v>
      </c>
      <c r="J20" s="291">
        <f>Ори!D6</f>
        <v>205.84043</v>
      </c>
      <c r="K20" s="187">
        <f t="shared" si="16"/>
        <v>78.475192527640104</v>
      </c>
      <c r="L20" s="187">
        <f>Ори!C8</f>
        <v>157.66999999999999</v>
      </c>
      <c r="M20" s="187">
        <f>Ори!D8</f>
        <v>181.93608</v>
      </c>
      <c r="N20" s="184">
        <f t="shared" si="17"/>
        <v>115.39042303545382</v>
      </c>
      <c r="O20" s="184">
        <f>Ори!C9</f>
        <v>1.7</v>
      </c>
      <c r="P20" s="184">
        <f>Ори!D9</f>
        <v>1.7269300000000001</v>
      </c>
      <c r="Q20" s="184">
        <f t="shared" si="18"/>
        <v>101.58411764705883</v>
      </c>
      <c r="R20" s="184">
        <f>Ори!C10</f>
        <v>263.33</v>
      </c>
      <c r="S20" s="184">
        <f>Ори!D10</f>
        <v>266.18900000000002</v>
      </c>
      <c r="T20" s="184">
        <f t="shared" si="19"/>
        <v>101.08570994569553</v>
      </c>
      <c r="U20" s="184">
        <f>Ори!C11</f>
        <v>0</v>
      </c>
      <c r="V20" s="419">
        <f>Ори!D11</f>
        <v>-40.590020000000003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241.38332</v>
      </c>
      <c r="AC20" s="187">
        <f t="shared" si="22"/>
        <v>150.864575</v>
      </c>
      <c r="AD20" s="195">
        <f>Ори!C16</f>
        <v>1620</v>
      </c>
      <c r="AE20" s="195">
        <f>Ори!D16</f>
        <v>1272.2407900000001</v>
      </c>
      <c r="AF20" s="187">
        <f t="shared" si="4"/>
        <v>78.533382098765429</v>
      </c>
      <c r="AG20" s="187">
        <f>Ори!C18</f>
        <v>10</v>
      </c>
      <c r="AH20" s="187">
        <f>Ори!D18</f>
        <v>7.2850000000000001</v>
      </c>
      <c r="AI20" s="187">
        <f t="shared" si="23"/>
        <v>72.850000000000009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463">
        <f>Ори!D27</f>
        <v>38.791519999999998</v>
      </c>
      <c r="AR20" s="187">
        <f t="shared" si="24"/>
        <v>36.152395153774464</v>
      </c>
      <c r="AS20" s="188">
        <f>Ори!C28</f>
        <v>30</v>
      </c>
      <c r="AT20" s="417">
        <f>Ори!D28</f>
        <v>49.5</v>
      </c>
      <c r="AU20" s="187">
        <f t="shared" si="25"/>
        <v>165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2.26797</v>
      </c>
      <c r="BA20" s="187">
        <f t="shared" si="27"/>
        <v>4.5359400000000001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8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16.656639999999999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3310.4779999999996</v>
      </c>
      <c r="CA20" s="186">
        <f t="shared" si="35"/>
        <v>3091.9123499999996</v>
      </c>
      <c r="CB20" s="187">
        <f t="shared" si="53"/>
        <v>93.397761592132611</v>
      </c>
      <c r="CC20" s="187">
        <f>Ори!C41</f>
        <v>1357.7539999999999</v>
      </c>
      <c r="CD20" s="187">
        <f>Ори!D41</f>
        <v>1279.2349999999999</v>
      </c>
      <c r="CE20" s="187">
        <f t="shared" si="36"/>
        <v>94.216993652753004</v>
      </c>
      <c r="CF20" s="187">
        <f>Ори!C42</f>
        <v>420</v>
      </c>
      <c r="CG20" s="187">
        <f>Ори!D42</f>
        <v>420</v>
      </c>
      <c r="CH20" s="187">
        <f t="shared" si="37"/>
        <v>100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175.78800000000001</v>
      </c>
      <c r="CM20" s="187">
        <f>Ори!D45</f>
        <v>170.749</v>
      </c>
      <c r="CN20" s="187">
        <f t="shared" si="8"/>
        <v>97.133478963296696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6124.5115100000003</v>
      </c>
      <c r="DH20" s="195">
        <f t="shared" si="39"/>
        <v>5146.2987599999997</v>
      </c>
      <c r="DI20" s="187">
        <f t="shared" si="40"/>
        <v>84.027905761907846</v>
      </c>
      <c r="DJ20" s="195">
        <f t="shared" si="41"/>
        <v>1330.0975000000001</v>
      </c>
      <c r="DK20" s="195">
        <f t="shared" si="41"/>
        <v>1072.3603700000001</v>
      </c>
      <c r="DL20" s="187">
        <f t="shared" si="42"/>
        <v>80.622688938216939</v>
      </c>
      <c r="DM20" s="187">
        <f>Ори!C58</f>
        <v>1313.154</v>
      </c>
      <c r="DN20" s="187">
        <f>Ори!D58</f>
        <v>1060.41687</v>
      </c>
      <c r="DO20" s="187">
        <f t="shared" si="43"/>
        <v>80.753428006159226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11.9435</v>
      </c>
      <c r="DW20" s="187">
        <f>Ори!D63</f>
        <v>11.9435</v>
      </c>
      <c r="DX20" s="187">
        <f t="shared" si="46"/>
        <v>100</v>
      </c>
      <c r="DY20" s="187">
        <f>Ори!C65</f>
        <v>170.749</v>
      </c>
      <c r="DZ20" s="187">
        <f>Ори!D65</f>
        <v>130.82066</v>
      </c>
      <c r="EA20" s="187">
        <f t="shared" si="47"/>
        <v>76.615769345647706</v>
      </c>
      <c r="EB20" s="187">
        <f>Ори!C66</f>
        <v>9.4405000000000001</v>
      </c>
      <c r="EC20" s="187">
        <f>Ори!D66</f>
        <v>9.4396599999999999</v>
      </c>
      <c r="ED20" s="187">
        <f t="shared" si="48"/>
        <v>99.991102166198814</v>
      </c>
      <c r="EE20" s="195">
        <f>Ори!C71</f>
        <v>2173.4105099999997</v>
      </c>
      <c r="EF20" s="195">
        <f>Ори!D71</f>
        <v>1894.2783399999998</v>
      </c>
      <c r="EG20" s="187">
        <f t="shared" si="49"/>
        <v>87.156951311512714</v>
      </c>
      <c r="EH20" s="195">
        <f>Ори!C76</f>
        <v>908.81399999999996</v>
      </c>
      <c r="EI20" s="195">
        <f>Ори!D76</f>
        <v>808.48572999999999</v>
      </c>
      <c r="EJ20" s="187">
        <f t="shared" si="50"/>
        <v>88.960527676730337</v>
      </c>
      <c r="EK20" s="195">
        <f>Ори!C81</f>
        <v>1530</v>
      </c>
      <c r="EL20" s="197">
        <f>Ори!D81</f>
        <v>1228.914</v>
      </c>
      <c r="EM20" s="187">
        <f t="shared" si="10"/>
        <v>80.321176470588227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2</v>
      </c>
      <c r="ES20" s="187">
        <f t="shared" si="51"/>
        <v>100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224.55729000000065</v>
      </c>
      <c r="EY20" s="184">
        <f t="shared" si="54"/>
        <v>-200.97577709677302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12">
        <f t="shared" si="14"/>
        <v>6456.5765599999986</v>
      </c>
      <c r="D21" s="415">
        <f t="shared" si="0"/>
        <v>5549.3463199999997</v>
      </c>
      <c r="E21" s="187">
        <f t="shared" si="1"/>
        <v>85.948741851517681</v>
      </c>
      <c r="F21" s="185">
        <f t="shared" si="2"/>
        <v>1908.9538999999997</v>
      </c>
      <c r="G21" s="185">
        <f t="shared" si="3"/>
        <v>1719.1519899999998</v>
      </c>
      <c r="H21" s="187">
        <f t="shared" si="15"/>
        <v>90.057281634721505</v>
      </c>
      <c r="I21" s="195">
        <f>Сят!C6</f>
        <v>108.1</v>
      </c>
      <c r="J21" s="195">
        <f>Сят!D6</f>
        <v>113.69768999999999</v>
      </c>
      <c r="K21" s="187">
        <f t="shared" si="16"/>
        <v>105.17825161887143</v>
      </c>
      <c r="L21" s="187">
        <f>Сят!C8</f>
        <v>194.3</v>
      </c>
      <c r="M21" s="187">
        <f>Сят!D8</f>
        <v>224.20406</v>
      </c>
      <c r="N21" s="184">
        <f t="shared" si="17"/>
        <v>115.39066392177044</v>
      </c>
      <c r="O21" s="184">
        <f>Сят!C9</f>
        <v>2.1</v>
      </c>
      <c r="P21" s="184">
        <f>Сят!D9</f>
        <v>2.1281300000000001</v>
      </c>
      <c r="Q21" s="184">
        <f t="shared" si="18"/>
        <v>101.3395238095238</v>
      </c>
      <c r="R21" s="184">
        <f>Сят!C10</f>
        <v>324.5</v>
      </c>
      <c r="S21" s="184">
        <f>Сят!D10</f>
        <v>328.03086999999999</v>
      </c>
      <c r="T21" s="184">
        <f t="shared" si="19"/>
        <v>101.08809553158706</v>
      </c>
      <c r="U21" s="184">
        <f>Сят!C11</f>
        <v>0</v>
      </c>
      <c r="V21" s="419">
        <f>Сят!D11</f>
        <v>-50.020049999999998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114.53677</v>
      </c>
      <c r="AC21" s="187">
        <f t="shared" si="22"/>
        <v>88.105207692307701</v>
      </c>
      <c r="AD21" s="195">
        <f>Сят!C16</f>
        <v>930</v>
      </c>
      <c r="AE21" s="195">
        <f>Сят!D16</f>
        <v>854.42345999999998</v>
      </c>
      <c r="AF21" s="187">
        <f t="shared" si="4"/>
        <v>91.873490322580636</v>
      </c>
      <c r="AG21" s="187">
        <f>Сят!C18</f>
        <v>10</v>
      </c>
      <c r="AH21" s="187">
        <f>Сят!D18</f>
        <v>3.7250000000000001</v>
      </c>
      <c r="AI21" s="187">
        <f t="shared" si="23"/>
        <v>37.25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463">
        <f>Сят!D27</f>
        <v>171.16</v>
      </c>
      <c r="AR21" s="187">
        <f t="shared" si="24"/>
        <v>106.97499999999999</v>
      </c>
      <c r="AS21" s="188">
        <f>Сят!C28</f>
        <v>6</v>
      </c>
      <c r="AT21" s="417">
        <f>Сят!D28</f>
        <v>6.2092799999999997</v>
      </c>
      <c r="AU21" s="187">
        <f t="shared" si="25"/>
        <v>103.488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3.0543399999999998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3.9539</v>
      </c>
      <c r="BO21" s="358">
        <f>Сят!D34</f>
        <v>0</v>
      </c>
      <c r="BP21" s="187">
        <f t="shared" si="30"/>
        <v>0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4547.6226599999991</v>
      </c>
      <c r="CA21" s="186">
        <f t="shared" si="35"/>
        <v>3830.1943299999998</v>
      </c>
      <c r="CB21" s="187">
        <f t="shared" si="53"/>
        <v>84.22410161004872</v>
      </c>
      <c r="CC21" s="187">
        <f>Сят!C41</f>
        <v>2768.8539999999998</v>
      </c>
      <c r="CD21" s="187">
        <f>Сят!D41</f>
        <v>2576.3670000000002</v>
      </c>
      <c r="CE21" s="187">
        <f t="shared" si="36"/>
        <v>93.048134715662158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1314.29766</v>
      </c>
      <c r="CJ21" s="187">
        <f>Сят!D43</f>
        <v>901.31866000000002</v>
      </c>
      <c r="CK21" s="187">
        <f t="shared" si="7"/>
        <v>68.577970381534428</v>
      </c>
      <c r="CL21" s="187">
        <f>Сят!C44</f>
        <v>177.46700000000001</v>
      </c>
      <c r="CM21" s="187">
        <f>Сят!D44</f>
        <v>171.7861</v>
      </c>
      <c r="CN21" s="187">
        <f t="shared" si="8"/>
        <v>96.798897823257278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-106.282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6906.0825800000002</v>
      </c>
      <c r="DH21" s="195">
        <f t="shared" si="39"/>
        <v>5472.3387099999991</v>
      </c>
      <c r="DI21" s="187">
        <f t="shared" si="40"/>
        <v>79.239404490294973</v>
      </c>
      <c r="DJ21" s="195">
        <f t="shared" si="41"/>
        <v>1470.8029999999999</v>
      </c>
      <c r="DK21" s="195">
        <f>Сят!D56</f>
        <v>1201.9613199999999</v>
      </c>
      <c r="DL21" s="187">
        <f t="shared" si="42"/>
        <v>81.721435161609008</v>
      </c>
      <c r="DM21" s="187">
        <f>Сят!C58</f>
        <v>1410.7539999999999</v>
      </c>
      <c r="DN21" s="187">
        <f>Сят!D58</f>
        <v>1161.9223199999999</v>
      </c>
      <c r="DO21" s="187">
        <f t="shared" si="43"/>
        <v>82.361795181867279</v>
      </c>
      <c r="DP21" s="187">
        <f>Сят!C61</f>
        <v>19.635999999999999</v>
      </c>
      <c r="DQ21" s="187">
        <f>Сят!D61</f>
        <v>19.635999999999999</v>
      </c>
      <c r="DR21" s="187">
        <f t="shared" si="44"/>
        <v>100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20.402999999999999</v>
      </c>
      <c r="DW21" s="187">
        <f>Сят!D63</f>
        <v>20.402999999999999</v>
      </c>
      <c r="DX21" s="187">
        <f t="shared" si="46"/>
        <v>100</v>
      </c>
      <c r="DY21" s="187">
        <f>Сят!C65</f>
        <v>170.749</v>
      </c>
      <c r="DZ21" s="187">
        <f>Сят!D65</f>
        <v>139.81729000000001</v>
      </c>
      <c r="EA21" s="187">
        <f t="shared" si="47"/>
        <v>81.884690393501586</v>
      </c>
      <c r="EB21" s="187">
        <f>Сят!C66</f>
        <v>1.46</v>
      </c>
      <c r="EC21" s="187">
        <f>Сят!D66</f>
        <v>0</v>
      </c>
      <c r="ED21" s="187">
        <f t="shared" si="48"/>
        <v>0</v>
      </c>
      <c r="EE21" s="195">
        <f>Сят!C71</f>
        <v>2299.6881600000002</v>
      </c>
      <c r="EF21" s="195">
        <f>Сят!D71</f>
        <v>1641.4518699999999</v>
      </c>
      <c r="EG21" s="187">
        <f t="shared" si="49"/>
        <v>71.377150108908666</v>
      </c>
      <c r="EH21" s="195">
        <f>Сят!C76</f>
        <v>826.53242</v>
      </c>
      <c r="EI21" s="195">
        <f>Сят!D76</f>
        <v>653.17400999999995</v>
      </c>
      <c r="EJ21" s="187">
        <f t="shared" si="50"/>
        <v>79.025818491185134</v>
      </c>
      <c r="EK21" s="195">
        <f>Сят!C80</f>
        <v>2099.85</v>
      </c>
      <c r="EL21" s="197">
        <f>Сят!D80</f>
        <v>1809.61922</v>
      </c>
      <c r="EM21" s="187">
        <f t="shared" si="10"/>
        <v>86.178499416625002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26.315000000000001</v>
      </c>
      <c r="ES21" s="187">
        <f t="shared" si="51"/>
        <v>71.121621621621628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-449.50602000000163</v>
      </c>
      <c r="EX21" s="191">
        <f t="shared" si="13"/>
        <v>77.007610000000568</v>
      </c>
      <c r="EY21" s="184">
        <f t="shared" si="54"/>
        <v>-17.131608159552634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4" customFormat="1" ht="15" customHeight="1">
      <c r="A22" s="225">
        <v>9</v>
      </c>
      <c r="B22" s="226" t="s">
        <v>312</v>
      </c>
      <c r="C22" s="414">
        <f>F22+BZ22</f>
        <v>5156.6059999999998</v>
      </c>
      <c r="D22" s="416">
        <f t="shared" si="0"/>
        <v>4625.3302299999996</v>
      </c>
      <c r="E22" s="227">
        <f t="shared" si="1"/>
        <v>89.697181246734772</v>
      </c>
      <c r="F22" s="228">
        <f>I22+X22+AA22+AD22+AG22+AM22+AS22+BE22+BQ22+BN22+AJ22+AY22+L22+R22+O22+U22+AP22</f>
        <v>1873.5</v>
      </c>
      <c r="G22" s="228">
        <f t="shared" si="3"/>
        <v>1762.2491300000002</v>
      </c>
      <c r="H22" s="227">
        <f t="shared" si="15"/>
        <v>94.061869762476661</v>
      </c>
      <c r="I22" s="188">
        <f>Тор!C6</f>
        <v>104.8</v>
      </c>
      <c r="J22" s="188">
        <f>Тор!D6</f>
        <v>94.437269999999998</v>
      </c>
      <c r="K22" s="227">
        <f t="shared" si="16"/>
        <v>90.111898854961836</v>
      </c>
      <c r="L22" s="227">
        <f>Тор!C8</f>
        <v>269.94</v>
      </c>
      <c r="M22" s="227">
        <f>Тор!D8</f>
        <v>311.49664000000001</v>
      </c>
      <c r="N22" s="227">
        <f t="shared" si="17"/>
        <v>115.39476920797216</v>
      </c>
      <c r="O22" s="227">
        <f>Тор!C9</f>
        <v>2.9</v>
      </c>
      <c r="P22" s="227">
        <f>Тор!D9</f>
        <v>2.9566400000000002</v>
      </c>
      <c r="Q22" s="227">
        <f t="shared" si="18"/>
        <v>101.95310344827587</v>
      </c>
      <c r="R22" s="227">
        <f>Тор!C10</f>
        <v>450.86</v>
      </c>
      <c r="S22" s="227">
        <f>Тор!D10</f>
        <v>455.74781000000002</v>
      </c>
      <c r="T22" s="227">
        <f t="shared" si="19"/>
        <v>101.08410814887105</v>
      </c>
      <c r="U22" s="227">
        <f>Тор!C11</f>
        <v>0</v>
      </c>
      <c r="V22" s="420">
        <f>Тор!D11</f>
        <v>-69.495050000000006</v>
      </c>
      <c r="W22" s="227" t="e">
        <f t="shared" si="20"/>
        <v>#DIV/0!</v>
      </c>
      <c r="X22" s="188">
        <f>Тор!C13</f>
        <v>15</v>
      </c>
      <c r="Y22" s="188">
        <f>Тор!D13</f>
        <v>26.056799999999999</v>
      </c>
      <c r="Z22" s="227">
        <f t="shared" si="21"/>
        <v>173.71199999999999</v>
      </c>
      <c r="AA22" s="188">
        <f>Тор!C15</f>
        <v>160</v>
      </c>
      <c r="AB22" s="188">
        <f>Тор!D15</f>
        <v>69.849000000000004</v>
      </c>
      <c r="AC22" s="227">
        <f t="shared" si="22"/>
        <v>43.655625000000001</v>
      </c>
      <c r="AD22" s="188">
        <f>Тор!C16</f>
        <v>470</v>
      </c>
      <c r="AE22" s="188">
        <f>Тор!D16</f>
        <v>426.48457999999999</v>
      </c>
      <c r="AF22" s="227">
        <f t="shared" si="4"/>
        <v>90.741399999999999</v>
      </c>
      <c r="AG22" s="227">
        <f>Тор!C18</f>
        <v>10</v>
      </c>
      <c r="AH22" s="227">
        <f>Тор!D18</f>
        <v>5.0999999999999996</v>
      </c>
      <c r="AI22" s="227">
        <f t="shared" si="23"/>
        <v>51</v>
      </c>
      <c r="AJ22" s="227"/>
      <c r="AK22" s="227">
        <f>Тор!D20</f>
        <v>0</v>
      </c>
      <c r="AL22" s="227" t="e">
        <f t="shared" si="5"/>
        <v>#DIV/0!</v>
      </c>
      <c r="AM22" s="188">
        <v>0</v>
      </c>
      <c r="AN22" s="188">
        <v>0</v>
      </c>
      <c r="AO22" s="227" t="e">
        <f t="shared" si="6"/>
        <v>#DIV/0!</v>
      </c>
      <c r="AP22" s="188">
        <f>Тор!C27</f>
        <v>300</v>
      </c>
      <c r="AQ22" s="464">
        <f>Тор!D27</f>
        <v>305.50894</v>
      </c>
      <c r="AR22" s="227">
        <f t="shared" si="24"/>
        <v>101.83631333333334</v>
      </c>
      <c r="AS22" s="188">
        <f>Тор!C28</f>
        <v>40</v>
      </c>
      <c r="AT22" s="418">
        <f>Тор!D28</f>
        <v>58.86598</v>
      </c>
      <c r="AU22" s="227">
        <f t="shared" si="25"/>
        <v>147.16495</v>
      </c>
      <c r="AV22" s="188"/>
      <c r="AW22" s="188"/>
      <c r="AX22" s="227" t="e">
        <f t="shared" si="26"/>
        <v>#DIV/0!</v>
      </c>
      <c r="AY22" s="227">
        <f>Тор!C29</f>
        <v>50</v>
      </c>
      <c r="AZ22" s="227">
        <f>Тор!D29</f>
        <v>75.498149999999995</v>
      </c>
      <c r="BA22" s="227">
        <f t="shared" si="27"/>
        <v>150.99629999999999</v>
      </c>
      <c r="BB22" s="227"/>
      <c r="BC22" s="227"/>
      <c r="BD22" s="227"/>
      <c r="BE22" s="227">
        <f>Тор!C34+Тор!C33</f>
        <v>0</v>
      </c>
      <c r="BF22" s="227">
        <f>Тор!D32</f>
        <v>0</v>
      </c>
      <c r="BG22" s="227" t="e">
        <f t="shared" si="28"/>
        <v>#DIV/0!</v>
      </c>
      <c r="BH22" s="227"/>
      <c r="BI22" s="227"/>
      <c r="BJ22" s="227" t="e">
        <f t="shared" si="29"/>
        <v>#DIV/0!</v>
      </c>
      <c r="BK22" s="227"/>
      <c r="BL22" s="227"/>
      <c r="BM22" s="227"/>
      <c r="BN22" s="227"/>
      <c r="BO22" s="359">
        <f>Тор!D35</f>
        <v>0</v>
      </c>
      <c r="BP22" s="227" t="e">
        <f t="shared" si="30"/>
        <v>#DIV/0!</v>
      </c>
      <c r="BQ22" s="227">
        <f>Тор!C37</f>
        <v>0</v>
      </c>
      <c r="BR22" s="227">
        <f>Тор!D37</f>
        <v>-0.25763000000000003</v>
      </c>
      <c r="BS22" s="227" t="e">
        <f t="shared" si="31"/>
        <v>#DIV/0!</v>
      </c>
      <c r="BT22" s="227"/>
      <c r="BU22" s="227"/>
      <c r="BV22" s="229" t="e">
        <f t="shared" si="32"/>
        <v>#DIV/0!</v>
      </c>
      <c r="BW22" s="229"/>
      <c r="BX22" s="229"/>
      <c r="BY22" s="229" t="e">
        <f t="shared" si="33"/>
        <v>#DIV/0!</v>
      </c>
      <c r="BZ22" s="188">
        <f t="shared" si="34"/>
        <v>3283.1060000000002</v>
      </c>
      <c r="CA22" s="186">
        <f t="shared" si="35"/>
        <v>2863.0810999999999</v>
      </c>
      <c r="CB22" s="227">
        <f t="shared" si="53"/>
        <v>87.206477646472564</v>
      </c>
      <c r="CC22" s="227">
        <f>Тор!C42</f>
        <v>1351.8630000000001</v>
      </c>
      <c r="CD22" s="227">
        <f>Тор!D42</f>
        <v>1271.4939999999999</v>
      </c>
      <c r="CE22" s="227">
        <f t="shared" si="36"/>
        <v>94.054944916755616</v>
      </c>
      <c r="CF22" s="227">
        <f>Тор!C43</f>
        <v>902</v>
      </c>
      <c r="CG22" s="227">
        <f>Тор!D43</f>
        <v>627.47230000000002</v>
      </c>
      <c r="CH22" s="227">
        <f t="shared" si="37"/>
        <v>69.564556541019968</v>
      </c>
      <c r="CI22" s="227">
        <f>Тор!C44</f>
        <v>682.53499999999997</v>
      </c>
      <c r="CJ22" s="227">
        <f>Тор!D44</f>
        <v>650.56500000000005</v>
      </c>
      <c r="CK22" s="227">
        <f t="shared" si="7"/>
        <v>95.315991121334449</v>
      </c>
      <c r="CL22" s="227">
        <f>Тор!C45</f>
        <v>174.108</v>
      </c>
      <c r="CM22" s="227">
        <f>Тор!D45</f>
        <v>170.749</v>
      </c>
      <c r="CN22" s="227">
        <f t="shared" si="8"/>
        <v>98.070737703034894</v>
      </c>
      <c r="CO22" s="227">
        <f>Тор!C46</f>
        <v>120</v>
      </c>
      <c r="CP22" s="227">
        <f>Тор!D46</f>
        <v>120</v>
      </c>
      <c r="CQ22" s="227"/>
      <c r="CR22" s="227">
        <f>Тор!C48</f>
        <v>52.6</v>
      </c>
      <c r="CS22" s="227">
        <f>Тор!D48</f>
        <v>52.6</v>
      </c>
      <c r="CT22" s="227">
        <f t="shared" si="9"/>
        <v>100</v>
      </c>
      <c r="CU22" s="227"/>
      <c r="CV22" s="227">
        <f>Тор!D49</f>
        <v>-29.799199999999999</v>
      </c>
      <c r="CW22" s="227"/>
      <c r="CX22" s="188"/>
      <c r="CY22" s="188"/>
      <c r="CZ22" s="227" t="e">
        <f t="shared" si="38"/>
        <v>#DIV/0!</v>
      </c>
      <c r="DA22" s="227"/>
      <c r="DB22" s="227"/>
      <c r="DC22" s="227"/>
      <c r="DD22" s="227"/>
      <c r="DE22" s="227"/>
      <c r="DF22" s="227"/>
      <c r="DG22" s="188">
        <f t="shared" si="39"/>
        <v>5463.6432299999997</v>
      </c>
      <c r="DH22" s="188">
        <f t="shared" si="39"/>
        <v>4457.7133300000005</v>
      </c>
      <c r="DI22" s="227">
        <f t="shared" si="40"/>
        <v>81.588660575848053</v>
      </c>
      <c r="DJ22" s="188">
        <f t="shared" si="41"/>
        <v>1126.56</v>
      </c>
      <c r="DK22" s="188">
        <f t="shared" si="41"/>
        <v>952.00297</v>
      </c>
      <c r="DL22" s="227">
        <f t="shared" si="42"/>
        <v>84.505305531884673</v>
      </c>
      <c r="DM22" s="227">
        <f>Тор!C58</f>
        <v>1096.463</v>
      </c>
      <c r="DN22" s="227">
        <f>Тор!D58</f>
        <v>926.90597000000002</v>
      </c>
      <c r="DO22" s="227">
        <f t="shared" si="43"/>
        <v>84.536000758803539</v>
      </c>
      <c r="DP22" s="227">
        <f>Тор!C61</f>
        <v>16.561</v>
      </c>
      <c r="DQ22" s="227">
        <f>Тор!D61</f>
        <v>16.561</v>
      </c>
      <c r="DR22" s="227">
        <f t="shared" si="44"/>
        <v>100</v>
      </c>
      <c r="DS22" s="227">
        <f>Тор!C62</f>
        <v>5</v>
      </c>
      <c r="DT22" s="227">
        <f>Тор!D62</f>
        <v>0</v>
      </c>
      <c r="DU22" s="227">
        <f t="shared" si="45"/>
        <v>0</v>
      </c>
      <c r="DV22" s="227">
        <f>Тор!C63</f>
        <v>8.5359999999999996</v>
      </c>
      <c r="DW22" s="227">
        <f>Тор!D63</f>
        <v>8.5359999999999996</v>
      </c>
      <c r="DX22" s="227">
        <f t="shared" si="46"/>
        <v>100</v>
      </c>
      <c r="DY22" s="227">
        <f>Тор!C65</f>
        <v>170.749</v>
      </c>
      <c r="DZ22" s="227">
        <f>+Тор!D64</f>
        <v>139.26421999999999</v>
      </c>
      <c r="EA22" s="227">
        <f t="shared" si="47"/>
        <v>81.560782200774241</v>
      </c>
      <c r="EB22" s="227">
        <f>Тор!C66</f>
        <v>19.606000000000002</v>
      </c>
      <c r="EC22" s="227">
        <f>Тор!D66</f>
        <v>0</v>
      </c>
      <c r="ED22" s="227">
        <f t="shared" si="48"/>
        <v>0</v>
      </c>
      <c r="EE22" s="188">
        <f>Тор!C71</f>
        <v>2358.4306699999997</v>
      </c>
      <c r="EF22" s="188">
        <f>Тор!D71</f>
        <v>2030.7471399999999</v>
      </c>
      <c r="EG22" s="227">
        <f t="shared" si="49"/>
        <v>86.105865473671102</v>
      </c>
      <c r="EH22" s="188">
        <f>Тор!C77</f>
        <v>541.99955999999997</v>
      </c>
      <c r="EI22" s="188">
        <f>Тор!D77</f>
        <v>276.20100000000002</v>
      </c>
      <c r="EJ22" s="227">
        <f t="shared" si="50"/>
        <v>50.959635465386732</v>
      </c>
      <c r="EK22" s="188">
        <f>Тор!C81</f>
        <v>1236.298</v>
      </c>
      <c r="EL22" s="230">
        <f>Тор!D81</f>
        <v>1049.498</v>
      </c>
      <c r="EM22" s="227">
        <f t="shared" si="10"/>
        <v>84.890374327225317</v>
      </c>
      <c r="EN22" s="227">
        <f>Тор!C83</f>
        <v>0</v>
      </c>
      <c r="EO22" s="227">
        <f>Тор!D83</f>
        <v>0</v>
      </c>
      <c r="EP22" s="227" t="e">
        <f t="shared" si="11"/>
        <v>#DIV/0!</v>
      </c>
      <c r="EQ22" s="228">
        <f>Тор!C96</f>
        <v>10</v>
      </c>
      <c r="ER22" s="228">
        <f>Тор!D96</f>
        <v>10</v>
      </c>
      <c r="ES22" s="227">
        <f t="shared" si="51"/>
        <v>100</v>
      </c>
      <c r="ET22" s="227">
        <f>Тор!C94</f>
        <v>0</v>
      </c>
      <c r="EU22" s="227">
        <f>Тор!D94</f>
        <v>0</v>
      </c>
      <c r="EV22" s="227" t="e">
        <f t="shared" si="52"/>
        <v>#DIV/0!</v>
      </c>
      <c r="EW22" s="231">
        <f t="shared" si="12"/>
        <v>-307.03722999999991</v>
      </c>
      <c r="EX22" s="231">
        <f t="shared" si="13"/>
        <v>167.61689999999908</v>
      </c>
      <c r="EY22" s="227">
        <f t="shared" si="54"/>
        <v>-54.591718404963174</v>
      </c>
      <c r="EZ22" s="232"/>
      <c r="FA22" s="233"/>
      <c r="FC22" s="233"/>
      <c r="FF22" s="325"/>
      <c r="FG22" s="325"/>
      <c r="FH22" s="325"/>
      <c r="FI22" s="325"/>
      <c r="FJ22" s="325"/>
      <c r="FK22" s="325"/>
      <c r="FL22" s="325"/>
      <c r="FM22" s="325"/>
      <c r="FN22" s="325"/>
    </row>
    <row r="23" spans="1:170" s="169" customFormat="1" ht="15" customHeight="1">
      <c r="A23" s="181">
        <v>10</v>
      </c>
      <c r="B23" s="194" t="s">
        <v>313</v>
      </c>
      <c r="C23" s="412">
        <f t="shared" si="14"/>
        <v>3816.335</v>
      </c>
      <c r="D23" s="415">
        <f t="shared" si="0"/>
        <v>3477.02837</v>
      </c>
      <c r="E23" s="187">
        <f t="shared" si="1"/>
        <v>91.109097340773275</v>
      </c>
      <c r="F23" s="185">
        <f t="shared" si="2"/>
        <v>967.7</v>
      </c>
      <c r="G23" s="185">
        <f t="shared" si="3"/>
        <v>798.38542000000007</v>
      </c>
      <c r="H23" s="187">
        <f t="shared" si="15"/>
        <v>82.503401880748171</v>
      </c>
      <c r="I23" s="195">
        <f>Хор!C6</f>
        <v>85.8</v>
      </c>
      <c r="J23" s="195">
        <f>Хор!D6</f>
        <v>83.810720000000003</v>
      </c>
      <c r="K23" s="187">
        <f t="shared" si="16"/>
        <v>97.681491841491848</v>
      </c>
      <c r="L23" s="187">
        <f>Хор!C8</f>
        <v>123.43</v>
      </c>
      <c r="M23" s="187">
        <f>Хор!D8</f>
        <v>142.42472000000001</v>
      </c>
      <c r="N23" s="184">
        <f t="shared" si="17"/>
        <v>115.38906262658996</v>
      </c>
      <c r="O23" s="184">
        <f>Хор!C9</f>
        <v>1.32</v>
      </c>
      <c r="P23" s="184">
        <f>Хор!D9</f>
        <v>1.35189</v>
      </c>
      <c r="Q23" s="184">
        <f t="shared" si="18"/>
        <v>102.4159090909091</v>
      </c>
      <c r="R23" s="184">
        <f>Хор!C10</f>
        <v>206.15</v>
      </c>
      <c r="S23" s="184">
        <f>Хор!D10</f>
        <v>208.38027</v>
      </c>
      <c r="T23" s="184">
        <f t="shared" si="19"/>
        <v>101.0818675721562</v>
      </c>
      <c r="U23" s="184">
        <f>Хор!C11</f>
        <v>0</v>
      </c>
      <c r="V23" s="419">
        <f>Хор!D11</f>
        <v>-31.775010000000002</v>
      </c>
      <c r="W23" s="184" t="e">
        <f t="shared" si="20"/>
        <v>#DIV/0!</v>
      </c>
      <c r="X23" s="195">
        <f>Хор!C13</f>
        <v>10</v>
      </c>
      <c r="Y23" s="195">
        <f>Хор!D13</f>
        <v>4.3319999999999999</v>
      </c>
      <c r="Z23" s="187">
        <f t="shared" si="21"/>
        <v>43.32</v>
      </c>
      <c r="AA23" s="195">
        <f>Хор!C15</f>
        <v>98</v>
      </c>
      <c r="AB23" s="195">
        <f>Хор!D15</f>
        <v>31.882370000000002</v>
      </c>
      <c r="AC23" s="187">
        <f t="shared" si="22"/>
        <v>32.5330306122449</v>
      </c>
      <c r="AD23" s="195">
        <f>Хор!C16</f>
        <v>390</v>
      </c>
      <c r="AE23" s="195">
        <f>Хор!D16</f>
        <v>331.74155999999999</v>
      </c>
      <c r="AF23" s="187">
        <f t="shared" si="4"/>
        <v>85.06193846153846</v>
      </c>
      <c r="AG23" s="187">
        <f>Хор!C18</f>
        <v>20</v>
      </c>
      <c r="AH23" s="187">
        <f>Хор!D18</f>
        <v>21.2</v>
      </c>
      <c r="AI23" s="187">
        <f t="shared" si="23"/>
        <v>106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463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417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8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2848.6350000000002</v>
      </c>
      <c r="CA23" s="186">
        <f t="shared" si="35"/>
        <v>2678.6429499999999</v>
      </c>
      <c r="CB23" s="187">
        <f t="shared" si="53"/>
        <v>94.032508552341724</v>
      </c>
      <c r="CC23" s="187">
        <f>Хор!C39</f>
        <v>1258.9960000000001</v>
      </c>
      <c r="CD23" s="187">
        <f>Хор!D39</f>
        <v>1185.8820000000001</v>
      </c>
      <c r="CE23" s="187">
        <f t="shared" si="36"/>
        <v>94.192674162586698</v>
      </c>
      <c r="CF23" s="187">
        <f>Хор!C41</f>
        <v>930</v>
      </c>
      <c r="CG23" s="187">
        <f>Хор!D41</f>
        <v>672.25</v>
      </c>
      <c r="CH23" s="187">
        <f t="shared" si="37"/>
        <v>72.284946236559151</v>
      </c>
      <c r="CI23" s="187">
        <f>Хор!C42</f>
        <v>480.904</v>
      </c>
      <c r="CJ23" s="187">
        <f>Хор!D42</f>
        <v>435.16199999999998</v>
      </c>
      <c r="CK23" s="187">
        <f t="shared" si="7"/>
        <v>90.48833031124714</v>
      </c>
      <c r="CL23" s="187">
        <f>Хор!C43</f>
        <v>88.734999999999999</v>
      </c>
      <c r="CM23" s="187">
        <f>Хор!D43</f>
        <v>85.376000000000005</v>
      </c>
      <c r="CN23" s="187">
        <f t="shared" si="8"/>
        <v>96.214571476869338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299.97295000000003</v>
      </c>
      <c r="CT23" s="187">
        <f t="shared" si="9"/>
        <v>333.30327777777779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3799.57456</v>
      </c>
      <c r="DH23" s="195">
        <f t="shared" si="39"/>
        <v>2822.4338399999997</v>
      </c>
      <c r="DI23" s="187">
        <f t="shared" si="40"/>
        <v>74.282891292966227</v>
      </c>
      <c r="DJ23" s="195">
        <f t="shared" si="41"/>
        <v>1135.8050000000001</v>
      </c>
      <c r="DK23" s="195">
        <f t="shared" si="41"/>
        <v>798.45017999999993</v>
      </c>
      <c r="DL23" s="187">
        <f t="shared" si="42"/>
        <v>70.298174422546111</v>
      </c>
      <c r="DM23" s="187">
        <f>Хор!C56</f>
        <v>1128.096</v>
      </c>
      <c r="DN23" s="187">
        <f>Хор!D56</f>
        <v>795.74167999999997</v>
      </c>
      <c r="DO23" s="187">
        <f t="shared" si="43"/>
        <v>70.538471903100444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85.376000000000005</v>
      </c>
      <c r="DZ23" s="187">
        <f>Хор!D63</f>
        <v>60.185580000000002</v>
      </c>
      <c r="EA23" s="187">
        <f t="shared" si="47"/>
        <v>70.494729197901052</v>
      </c>
      <c r="EB23" s="187">
        <f>Хор!C64</f>
        <v>4.8029999999999999</v>
      </c>
      <c r="EC23" s="187">
        <f>Хор!D64</f>
        <v>2</v>
      </c>
      <c r="ED23" s="187">
        <f t="shared" si="48"/>
        <v>41.640641265875495</v>
      </c>
      <c r="EE23" s="195">
        <f>Хор!C69</f>
        <v>906.68255999999997</v>
      </c>
      <c r="EF23" s="195">
        <f>Хор!D69</f>
        <v>782.76676999999995</v>
      </c>
      <c r="EG23" s="187">
        <f t="shared" si="49"/>
        <v>86.333056852885747</v>
      </c>
      <c r="EH23" s="195">
        <f>Хор!C74</f>
        <v>186.208</v>
      </c>
      <c r="EI23" s="195">
        <f>Хор!D74</f>
        <v>128.03130999999999</v>
      </c>
      <c r="EJ23" s="187">
        <f t="shared" si="50"/>
        <v>68.757147920604908</v>
      </c>
      <c r="EK23" s="195">
        <f>Хор!C78</f>
        <v>1477.7</v>
      </c>
      <c r="EL23" s="197">
        <f>Хор!D78</f>
        <v>1049</v>
      </c>
      <c r="EM23" s="187">
        <f t="shared" si="10"/>
        <v>70.988698653312582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654.5945300000003</v>
      </c>
      <c r="EY23" s="184">
        <f t="shared" si="54"/>
        <v>3905.5927529348851</v>
      </c>
      <c r="EZ23" s="192"/>
      <c r="FA23" s="193"/>
      <c r="FC23" s="193"/>
    </row>
    <row r="24" spans="1:170" s="432" customFormat="1" ht="15" customHeight="1">
      <c r="A24" s="427">
        <v>11</v>
      </c>
      <c r="B24" s="194" t="s">
        <v>314</v>
      </c>
      <c r="C24" s="413">
        <f t="shared" si="14"/>
        <v>3728.4079999999999</v>
      </c>
      <c r="D24" s="415">
        <f t="shared" si="0"/>
        <v>3095.5008500000004</v>
      </c>
      <c r="E24" s="187">
        <f t="shared" si="1"/>
        <v>83.024734685688912</v>
      </c>
      <c r="F24" s="198">
        <f t="shared" si="2"/>
        <v>1126.1199999999999</v>
      </c>
      <c r="G24" s="198">
        <f t="shared" si="3"/>
        <v>1040.9037500000002</v>
      </c>
      <c r="H24" s="187">
        <f t="shared" si="15"/>
        <v>92.432755834191767</v>
      </c>
      <c r="I24" s="195">
        <f>Чум!C6</f>
        <v>95.3</v>
      </c>
      <c r="J24" s="195">
        <f>Чум!D6</f>
        <v>74.941079999999999</v>
      </c>
      <c r="K24" s="187">
        <f t="shared" si="16"/>
        <v>78.637019937040932</v>
      </c>
      <c r="L24" s="187">
        <f>Чум!C8</f>
        <v>117.05</v>
      </c>
      <c r="M24" s="187">
        <f>Чум!D8</f>
        <v>135.07371000000001</v>
      </c>
      <c r="N24" s="187">
        <f t="shared" si="17"/>
        <v>115.39829987184964</v>
      </c>
      <c r="O24" s="187">
        <f>Чум!C9</f>
        <v>1.26</v>
      </c>
      <c r="P24" s="187">
        <f>Чум!D9</f>
        <v>1.2820499999999999</v>
      </c>
      <c r="Q24" s="187">
        <f t="shared" si="18"/>
        <v>101.74999999999999</v>
      </c>
      <c r="R24" s="187">
        <f>Чум!C10</f>
        <v>195.51</v>
      </c>
      <c r="S24" s="187">
        <f>Чум!D10</f>
        <v>197.62513999999999</v>
      </c>
      <c r="T24" s="187">
        <f t="shared" si="19"/>
        <v>101.0818577054882</v>
      </c>
      <c r="U24" s="187">
        <f>Чум!C11</f>
        <v>0</v>
      </c>
      <c r="V24" s="428">
        <f>Чум!D11</f>
        <v>-30.135000000000002</v>
      </c>
      <c r="W24" s="187" t="e">
        <f t="shared" si="20"/>
        <v>#DIV/0!</v>
      </c>
      <c r="X24" s="195">
        <f>Чум!C13</f>
        <v>65</v>
      </c>
      <c r="Y24" s="195">
        <f>Чум!D13</f>
        <v>82.355969999999999</v>
      </c>
      <c r="Z24" s="187">
        <f t="shared" si="21"/>
        <v>126.70149230769229</v>
      </c>
      <c r="AA24" s="195">
        <f>Чум!C15</f>
        <v>75</v>
      </c>
      <c r="AB24" s="195">
        <f>Чум!D15</f>
        <v>79.407480000000007</v>
      </c>
      <c r="AC24" s="187">
        <f t="shared" si="22"/>
        <v>105.87664000000001</v>
      </c>
      <c r="AD24" s="195">
        <f>Чум!C16</f>
        <v>460</v>
      </c>
      <c r="AE24" s="195">
        <f>Чум!D16</f>
        <v>422.46688</v>
      </c>
      <c r="AF24" s="187">
        <f t="shared" si="4"/>
        <v>91.840626086956519</v>
      </c>
      <c r="AG24" s="187">
        <f>Чум!C18</f>
        <v>10</v>
      </c>
      <c r="AH24" s="187">
        <f>Чум!D18</f>
        <v>8.9</v>
      </c>
      <c r="AI24" s="187">
        <f t="shared" si="23"/>
        <v>89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463">
        <f>Чум!D27</f>
        <v>33.747</v>
      </c>
      <c r="AR24" s="187">
        <f t="shared" si="24"/>
        <v>42.183749999999996</v>
      </c>
      <c r="AS24" s="195">
        <f>Чум!C28</f>
        <v>2</v>
      </c>
      <c r="AT24" s="417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25</v>
      </c>
      <c r="AZ24" s="187">
        <f>Чум!D30</f>
        <v>35.240600000000001</v>
      </c>
      <c r="BA24" s="187">
        <f t="shared" si="27"/>
        <v>140.9624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8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2602.288</v>
      </c>
      <c r="CA24" s="195">
        <f t="shared" si="35"/>
        <v>2054.5971</v>
      </c>
      <c r="CB24" s="187">
        <f t="shared" si="53"/>
        <v>78.953486316656722</v>
      </c>
      <c r="CC24" s="187">
        <f>Чум!C42</f>
        <v>1906.663</v>
      </c>
      <c r="CD24" s="187">
        <f>Чум!D42</f>
        <v>1793.086</v>
      </c>
      <c r="CE24" s="187">
        <f t="shared" si="36"/>
        <v>94.043152880189112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88.734999999999999</v>
      </c>
      <c r="CM24" s="187">
        <f>Чум!D45</f>
        <v>86.4131</v>
      </c>
      <c r="CN24" s="187">
        <f t="shared" si="8"/>
        <v>97.383332394207471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3802.0745299999999</v>
      </c>
      <c r="DH24" s="195">
        <f t="shared" si="39"/>
        <v>2836.3804600000003</v>
      </c>
      <c r="DI24" s="187">
        <f t="shared" si="40"/>
        <v>74.600864281321705</v>
      </c>
      <c r="DJ24" s="195">
        <f t="shared" si="41"/>
        <v>1306.2660000000001</v>
      </c>
      <c r="DK24" s="195">
        <f t="shared" si="41"/>
        <v>1118.0492800000002</v>
      </c>
      <c r="DL24" s="187">
        <f t="shared" si="42"/>
        <v>85.591240987670204</v>
      </c>
      <c r="DM24" s="187">
        <f>Чум!C58</f>
        <v>1286.3630000000001</v>
      </c>
      <c r="DN24" s="187">
        <f>Чум!D58</f>
        <v>1103.2017800000001</v>
      </c>
      <c r="DO24" s="187">
        <f t="shared" si="43"/>
        <v>85.761311542698294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14.903</v>
      </c>
      <c r="DW24" s="187">
        <f>Чум!D63</f>
        <v>14.8475</v>
      </c>
      <c r="DX24" s="187">
        <f t="shared" si="46"/>
        <v>99.627591760048304</v>
      </c>
      <c r="DY24" s="187">
        <f>Чум!C65</f>
        <v>85.376000000000005</v>
      </c>
      <c r="DZ24" s="187">
        <f>Чум!D65</f>
        <v>70.594639999999998</v>
      </c>
      <c r="EA24" s="187">
        <f t="shared" si="47"/>
        <v>82.68675037481259</v>
      </c>
      <c r="EB24" s="187">
        <f>Чум!C66</f>
        <v>4.25</v>
      </c>
      <c r="EC24" s="187">
        <f>Чум!D66</f>
        <v>2.0499999999999998</v>
      </c>
      <c r="ED24" s="187">
        <f t="shared" si="48"/>
        <v>48.235294117647051</v>
      </c>
      <c r="EE24" s="195">
        <f>Чум!C71</f>
        <v>1005.73253</v>
      </c>
      <c r="EF24" s="195">
        <f>Чум!D71</f>
        <v>439.53649999999999</v>
      </c>
      <c r="EG24" s="187">
        <f t="shared" si="49"/>
        <v>43.703120550351493</v>
      </c>
      <c r="EH24" s="195">
        <f>Чум!C76</f>
        <v>525.65</v>
      </c>
      <c r="EI24" s="195">
        <f>Чум!D76</f>
        <v>404.96303999999998</v>
      </c>
      <c r="EJ24" s="187">
        <f t="shared" si="50"/>
        <v>77.040433748692095</v>
      </c>
      <c r="EK24" s="195">
        <f>Чум!C80</f>
        <v>872.8</v>
      </c>
      <c r="EL24" s="197">
        <f>Чум!D80</f>
        <v>800.47199999999998</v>
      </c>
      <c r="EM24" s="187">
        <f t="shared" si="10"/>
        <v>91.713107241063256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7" t="e">
        <f t="shared" si="52"/>
        <v>#DIV/0!</v>
      </c>
      <c r="EW24" s="429">
        <f t="shared" si="12"/>
        <v>-73.666529999999966</v>
      </c>
      <c r="EX24" s="429">
        <f t="shared" si="13"/>
        <v>259.12039000000004</v>
      </c>
      <c r="EY24" s="187">
        <f t="shared" si="54"/>
        <v>-351.74778831037673</v>
      </c>
      <c r="EZ24" s="430"/>
      <c r="FA24" s="431"/>
      <c r="FC24" s="431"/>
    </row>
    <row r="25" spans="1:170" s="234" customFormat="1" ht="15" customHeight="1">
      <c r="A25" s="225">
        <v>12</v>
      </c>
      <c r="B25" s="226" t="s">
        <v>315</v>
      </c>
      <c r="C25" s="414">
        <f t="shared" si="14"/>
        <v>3742.8500000000004</v>
      </c>
      <c r="D25" s="416">
        <f t="shared" si="0"/>
        <v>2993.6630799999998</v>
      </c>
      <c r="E25" s="227">
        <f t="shared" si="1"/>
        <v>79.983517373124741</v>
      </c>
      <c r="F25" s="228">
        <f t="shared" si="2"/>
        <v>909.76</v>
      </c>
      <c r="G25" s="228">
        <f t="shared" si="3"/>
        <v>670.05798000000004</v>
      </c>
      <c r="H25" s="227">
        <f t="shared" si="15"/>
        <v>73.652169803024975</v>
      </c>
      <c r="I25" s="188">
        <f>Шать!C6</f>
        <v>33.4</v>
      </c>
      <c r="J25" s="188">
        <f>Шать!D6</f>
        <v>32.898099999999999</v>
      </c>
      <c r="K25" s="227">
        <f t="shared" si="16"/>
        <v>98.497305389221552</v>
      </c>
      <c r="L25" s="227">
        <f>Шать!C8</f>
        <v>120.24</v>
      </c>
      <c r="M25" s="227">
        <f>Шать!D8</f>
        <v>138.74923999999999</v>
      </c>
      <c r="N25" s="227">
        <f t="shared" si="17"/>
        <v>115.39357950765137</v>
      </c>
      <c r="O25" s="227">
        <f>Шать!C9</f>
        <v>1.29</v>
      </c>
      <c r="P25" s="227">
        <f>Шать!D9</f>
        <v>1.3169500000000001</v>
      </c>
      <c r="Q25" s="227">
        <f t="shared" si="18"/>
        <v>102.0891472868217</v>
      </c>
      <c r="R25" s="227">
        <f>Шать!C10</f>
        <v>200.83</v>
      </c>
      <c r="S25" s="227">
        <f>Шать!D10</f>
        <v>203.00273000000001</v>
      </c>
      <c r="T25" s="227">
        <f t="shared" si="19"/>
        <v>101.08187521784593</v>
      </c>
      <c r="U25" s="227">
        <f>Шать!C11</f>
        <v>0</v>
      </c>
      <c r="V25" s="420">
        <f>Шать!D11</f>
        <v>-30.955079999999999</v>
      </c>
      <c r="W25" s="227" t="e">
        <f t="shared" si="20"/>
        <v>#DIV/0!</v>
      </c>
      <c r="X25" s="188">
        <f>Шать!C13</f>
        <v>10</v>
      </c>
      <c r="Y25" s="188">
        <f>Шать!D13</f>
        <v>9.2697500000000002</v>
      </c>
      <c r="Z25" s="227">
        <f t="shared" si="21"/>
        <v>92.697500000000005</v>
      </c>
      <c r="AA25" s="188">
        <f>Шать!C15</f>
        <v>40</v>
      </c>
      <c r="AB25" s="188">
        <f>Шать!D15</f>
        <v>32.592329999999997</v>
      </c>
      <c r="AC25" s="227">
        <f t="shared" si="22"/>
        <v>81.480824999999996</v>
      </c>
      <c r="AD25" s="188">
        <f>Шать!C16</f>
        <v>315</v>
      </c>
      <c r="AE25" s="188">
        <f>Шать!D16</f>
        <v>223.85283999999999</v>
      </c>
      <c r="AF25" s="227">
        <f t="shared" si="4"/>
        <v>71.064393650793647</v>
      </c>
      <c r="AG25" s="227">
        <f>Шать!C18</f>
        <v>7</v>
      </c>
      <c r="AH25" s="227">
        <f>Шать!D18</f>
        <v>1.4</v>
      </c>
      <c r="AI25" s="227">
        <f t="shared" si="23"/>
        <v>20</v>
      </c>
      <c r="AJ25" s="227"/>
      <c r="AK25" s="227"/>
      <c r="AL25" s="227" t="e">
        <f>AJ25/AK25*100</f>
        <v>#DIV/0!</v>
      </c>
      <c r="AM25" s="188">
        <v>0</v>
      </c>
      <c r="AN25" s="188">
        <f>0</f>
        <v>0</v>
      </c>
      <c r="AO25" s="227" t="e">
        <f t="shared" si="6"/>
        <v>#DIV/0!</v>
      </c>
      <c r="AP25" s="188">
        <f>Шать!C27</f>
        <v>115</v>
      </c>
      <c r="AQ25" s="463">
        <f>Шать!D27</f>
        <v>6.5140000000000002</v>
      </c>
      <c r="AR25" s="227">
        <f t="shared" si="24"/>
        <v>5.6643478260869564</v>
      </c>
      <c r="AS25" s="188">
        <f>Шать!C28</f>
        <v>17</v>
      </c>
      <c r="AT25" s="418">
        <f>Шать!D28</f>
        <v>23.843599999999999</v>
      </c>
      <c r="AU25" s="227">
        <f t="shared" si="25"/>
        <v>140.25647058823529</v>
      </c>
      <c r="AV25" s="188"/>
      <c r="AW25" s="188"/>
      <c r="AX25" s="227" t="e">
        <f t="shared" si="26"/>
        <v>#DIV/0!</v>
      </c>
      <c r="AY25" s="227">
        <f>Шать!C29</f>
        <v>50</v>
      </c>
      <c r="AZ25" s="227">
        <f>Шать!D29</f>
        <v>21.386410000000001</v>
      </c>
      <c r="BA25" s="227">
        <f t="shared" si="27"/>
        <v>42.772820000000003</v>
      </c>
      <c r="BB25" s="227"/>
      <c r="BC25" s="227"/>
      <c r="BD25" s="227"/>
      <c r="BE25" s="227">
        <f>Шать!C33</f>
        <v>0</v>
      </c>
      <c r="BF25" s="227">
        <f>Шать!D33</f>
        <v>0</v>
      </c>
      <c r="BG25" s="227" t="e">
        <f t="shared" si="28"/>
        <v>#DIV/0!</v>
      </c>
      <c r="BH25" s="227"/>
      <c r="BI25" s="227"/>
      <c r="BJ25" s="227" t="e">
        <f t="shared" si="29"/>
        <v>#DIV/0!</v>
      </c>
      <c r="BK25" s="227"/>
      <c r="BL25" s="227"/>
      <c r="BM25" s="227"/>
      <c r="BN25" s="227">
        <f>Шать!C34</f>
        <v>0</v>
      </c>
      <c r="BO25" s="359">
        <f>Шать!D34</f>
        <v>8.7899999999999992E-3</v>
      </c>
      <c r="BP25" s="227" t="e">
        <f t="shared" si="30"/>
        <v>#DIV/0!</v>
      </c>
      <c r="BQ25" s="227">
        <f>Шать!C37</f>
        <v>0</v>
      </c>
      <c r="BR25" s="227">
        <f>Шать!D39</f>
        <v>6.1783200000000003</v>
      </c>
      <c r="BS25" s="227" t="e">
        <f t="shared" si="31"/>
        <v>#DIV/0!</v>
      </c>
      <c r="BT25" s="227"/>
      <c r="BU25" s="227"/>
      <c r="BV25" s="229" t="e">
        <f t="shared" si="32"/>
        <v>#DIV/0!</v>
      </c>
      <c r="BW25" s="229"/>
      <c r="BX25" s="229"/>
      <c r="BY25" s="229" t="e">
        <f t="shared" si="33"/>
        <v>#DIV/0!</v>
      </c>
      <c r="BZ25" s="188">
        <f t="shared" si="34"/>
        <v>2833.09</v>
      </c>
      <c r="CA25" s="186">
        <f t="shared" si="35"/>
        <v>2323.6050999999998</v>
      </c>
      <c r="CB25" s="227">
        <f t="shared" si="53"/>
        <v>82.016635546346905</v>
      </c>
      <c r="CC25" s="227">
        <f>Шать!C42</f>
        <v>1243.7660000000001</v>
      </c>
      <c r="CD25" s="227">
        <f>Шать!D42</f>
        <v>1171.3679999999999</v>
      </c>
      <c r="CE25" s="227">
        <f t="shared" si="36"/>
        <v>94.179130157923581</v>
      </c>
      <c r="CF25" s="227">
        <f>Шать!C43</f>
        <v>400</v>
      </c>
      <c r="CG25" s="227">
        <f>Шать!D43</f>
        <v>400</v>
      </c>
      <c r="CH25" s="227">
        <f t="shared" si="37"/>
        <v>100</v>
      </c>
      <c r="CI25" s="227">
        <f>Шать!C44</f>
        <v>1004.188</v>
      </c>
      <c r="CJ25" s="227">
        <f>Шать!D44</f>
        <v>568.72299999999996</v>
      </c>
      <c r="CK25" s="227">
        <f t="shared" si="7"/>
        <v>56.635112150314484</v>
      </c>
      <c r="CL25" s="227">
        <f>Шать!C45</f>
        <v>88.036000000000001</v>
      </c>
      <c r="CM25" s="227">
        <f>Шать!D45</f>
        <v>86.414100000000005</v>
      </c>
      <c r="CN25" s="227">
        <f t="shared" si="8"/>
        <v>98.157685492298612</v>
      </c>
      <c r="CO25" s="227">
        <f>Шать!C46</f>
        <v>0</v>
      </c>
      <c r="CP25" s="227">
        <f>Шать!D46</f>
        <v>0</v>
      </c>
      <c r="CQ25" s="227"/>
      <c r="CR25" s="227">
        <f>Шать!C50</f>
        <v>97.1</v>
      </c>
      <c r="CS25" s="227">
        <f>Шать!D50</f>
        <v>97.1</v>
      </c>
      <c r="CT25" s="227">
        <f t="shared" si="9"/>
        <v>100</v>
      </c>
      <c r="CU25" s="227"/>
      <c r="CV25" s="227"/>
      <c r="CW25" s="227"/>
      <c r="CX25" s="188"/>
      <c r="CY25" s="188"/>
      <c r="CZ25" s="227" t="e">
        <f t="shared" si="38"/>
        <v>#DIV/0!</v>
      </c>
      <c r="DA25" s="227"/>
      <c r="DB25" s="227"/>
      <c r="DC25" s="227"/>
      <c r="DD25" s="227"/>
      <c r="DE25" s="227"/>
      <c r="DF25" s="227"/>
      <c r="DG25" s="188">
        <f t="shared" si="39"/>
        <v>3689.4565299999995</v>
      </c>
      <c r="DH25" s="188">
        <f t="shared" si="39"/>
        <v>2837.3886800000005</v>
      </c>
      <c r="DI25" s="227">
        <f>DH25/DG25*100</f>
        <v>76.905328926588567</v>
      </c>
      <c r="DJ25" s="188">
        <f t="shared" si="41"/>
        <v>1139.7604999999999</v>
      </c>
      <c r="DK25" s="188">
        <f t="shared" si="41"/>
        <v>978.56824000000006</v>
      </c>
      <c r="DL25" s="227">
        <f t="shared" si="42"/>
        <v>85.857356874536379</v>
      </c>
      <c r="DM25" s="227">
        <f>Шать!C58</f>
        <v>1100.9659999999999</v>
      </c>
      <c r="DN25" s="227">
        <f>Шать!D58</f>
        <v>940.77373999999998</v>
      </c>
      <c r="DO25" s="227">
        <f t="shared" si="43"/>
        <v>85.449844954340108</v>
      </c>
      <c r="DP25" s="227">
        <f>Шать!C61</f>
        <v>32.152000000000001</v>
      </c>
      <c r="DQ25" s="227">
        <f>Шать!D61</f>
        <v>32.152000000000001</v>
      </c>
      <c r="DR25" s="227">
        <f t="shared" si="44"/>
        <v>100</v>
      </c>
      <c r="DS25" s="227">
        <f>Шать!C62</f>
        <v>1</v>
      </c>
      <c r="DT25" s="227">
        <f>Шать!D62</f>
        <v>0</v>
      </c>
      <c r="DU25" s="227">
        <f t="shared" si="45"/>
        <v>0</v>
      </c>
      <c r="DV25" s="227">
        <f>Шать!C63</f>
        <v>5.6425000000000001</v>
      </c>
      <c r="DW25" s="227">
        <f>Шать!D63</f>
        <v>5.6425000000000001</v>
      </c>
      <c r="DX25" s="227">
        <f t="shared" si="46"/>
        <v>100</v>
      </c>
      <c r="DY25" s="227">
        <f>Шать!C65</f>
        <v>85.376999999999995</v>
      </c>
      <c r="DZ25" s="227">
        <f>Шать!D65</f>
        <v>70.173770000000005</v>
      </c>
      <c r="EA25" s="227">
        <f t="shared" si="47"/>
        <v>82.192827108003343</v>
      </c>
      <c r="EB25" s="227">
        <f>Шать!C66</f>
        <v>8</v>
      </c>
      <c r="EC25" s="227">
        <f>Шать!D66</f>
        <v>7.931</v>
      </c>
      <c r="ED25" s="227">
        <f t="shared" si="48"/>
        <v>99.137500000000003</v>
      </c>
      <c r="EE25" s="188">
        <f>Шать!C71</f>
        <v>1549.45453</v>
      </c>
      <c r="EF25" s="188">
        <f>Шать!D71</f>
        <v>956.91382999999996</v>
      </c>
      <c r="EG25" s="227">
        <f t="shared" si="49"/>
        <v>61.758109803970818</v>
      </c>
      <c r="EH25" s="188">
        <f>Шать!C76</f>
        <v>208.36099999999999</v>
      </c>
      <c r="EI25" s="188">
        <f>Шать!D76</f>
        <v>125.30083999999999</v>
      </c>
      <c r="EJ25" s="227">
        <f t="shared" si="50"/>
        <v>60.136417083811267</v>
      </c>
      <c r="EK25" s="188">
        <f>Шать!C80</f>
        <v>689.50350000000003</v>
      </c>
      <c r="EL25" s="230">
        <f>Шать!D80</f>
        <v>689.50300000000004</v>
      </c>
      <c r="EM25" s="227">
        <f t="shared" si="10"/>
        <v>99.999927484051938</v>
      </c>
      <c r="EN25" s="227">
        <f>Шать!C82</f>
        <v>5</v>
      </c>
      <c r="EO25" s="227">
        <f>Шать!D82</f>
        <v>5</v>
      </c>
      <c r="EP25" s="227">
        <f t="shared" si="11"/>
        <v>100</v>
      </c>
      <c r="EQ25" s="228">
        <f>Шать!C87</f>
        <v>4</v>
      </c>
      <c r="ER25" s="228">
        <f>Шать!D87</f>
        <v>3.9980000000000002</v>
      </c>
      <c r="ES25" s="227">
        <f t="shared" si="51"/>
        <v>99.95</v>
      </c>
      <c r="ET25" s="227">
        <f>Шать!C93</f>
        <v>0</v>
      </c>
      <c r="EU25" s="227">
        <f>Шать!D93</f>
        <v>0</v>
      </c>
      <c r="EV25" s="227" t="e">
        <f t="shared" si="52"/>
        <v>#DIV/0!</v>
      </c>
      <c r="EW25" s="231">
        <f t="shared" si="12"/>
        <v>53.393470000000889</v>
      </c>
      <c r="EX25" s="231">
        <f t="shared" si="13"/>
        <v>156.27439999999933</v>
      </c>
      <c r="EY25" s="227">
        <f t="shared" si="54"/>
        <v>292.6844799560634</v>
      </c>
      <c r="EZ25" s="232"/>
      <c r="FA25" s="233"/>
      <c r="FC25" s="233"/>
    </row>
    <row r="26" spans="1:170" s="432" customFormat="1" ht="15" customHeight="1">
      <c r="A26" s="433">
        <v>13</v>
      </c>
      <c r="B26" s="194" t="s">
        <v>316</v>
      </c>
      <c r="C26" s="413">
        <f t="shared" si="14"/>
        <v>5608.1810000000005</v>
      </c>
      <c r="D26" s="415">
        <f t="shared" si="0"/>
        <v>3924.9900600000001</v>
      </c>
      <c r="E26" s="187">
        <f t="shared" si="1"/>
        <v>69.986864903254713</v>
      </c>
      <c r="F26" s="198">
        <f t="shared" si="2"/>
        <v>2725.4100000000003</v>
      </c>
      <c r="G26" s="198">
        <f t="shared" si="3"/>
        <v>2637.79306</v>
      </c>
      <c r="H26" s="187">
        <f t="shared" si="15"/>
        <v>96.785183146755898</v>
      </c>
      <c r="I26" s="195">
        <f>Юнг!C6</f>
        <v>114.5</v>
      </c>
      <c r="J26" s="195">
        <f>Юнг!D6</f>
        <v>109.05306</v>
      </c>
      <c r="K26" s="187">
        <f t="shared" si="16"/>
        <v>95.242847161572058</v>
      </c>
      <c r="L26" s="187">
        <f>Юнг!C8</f>
        <v>185.53</v>
      </c>
      <c r="M26" s="187">
        <f>Юнг!D8</f>
        <v>214.09650999999999</v>
      </c>
      <c r="N26" s="187">
        <f t="shared" si="17"/>
        <v>115.39724572845363</v>
      </c>
      <c r="O26" s="187">
        <f>Юнг!C9</f>
        <v>2</v>
      </c>
      <c r="P26" s="187">
        <f>Юнг!D9</f>
        <v>2.0321500000000001</v>
      </c>
      <c r="Q26" s="187">
        <f t="shared" si="18"/>
        <v>101.6075</v>
      </c>
      <c r="R26" s="187">
        <f>Юнг!C10</f>
        <v>309.88</v>
      </c>
      <c r="S26" s="187">
        <f>Юнг!D10</f>
        <v>313.24257999999998</v>
      </c>
      <c r="T26" s="187">
        <f t="shared" si="19"/>
        <v>101.08512327352524</v>
      </c>
      <c r="U26" s="187">
        <f>Юнг!C11</f>
        <v>0</v>
      </c>
      <c r="V26" s="428">
        <f>Юнг!D11</f>
        <v>-47.765050000000002</v>
      </c>
      <c r="W26" s="187" t="e">
        <f t="shared" si="20"/>
        <v>#DIV/0!</v>
      </c>
      <c r="X26" s="195">
        <f>Юнг!C13</f>
        <v>40</v>
      </c>
      <c r="Y26" s="195">
        <f>Юнг!D13</f>
        <v>42.170999999999999</v>
      </c>
      <c r="Z26" s="187">
        <f t="shared" si="21"/>
        <v>105.42750000000001</v>
      </c>
      <c r="AA26" s="195">
        <f>Юнг!C15</f>
        <v>150</v>
      </c>
      <c r="AB26" s="195">
        <f>Юнг!D15</f>
        <v>221.18362999999999</v>
      </c>
      <c r="AC26" s="187">
        <f t="shared" si="22"/>
        <v>147.45575333333335</v>
      </c>
      <c r="AD26" s="195">
        <f>Юнг!C16</f>
        <v>1611.5</v>
      </c>
      <c r="AE26" s="195">
        <f>Юнг!D16</f>
        <v>1520.19343</v>
      </c>
      <c r="AF26" s="187">
        <f t="shared" si="4"/>
        <v>94.334063295066699</v>
      </c>
      <c r="AG26" s="187">
        <f>Юнг!C18</f>
        <v>12</v>
      </c>
      <c r="AH26" s="187">
        <f>Юнг!D18</f>
        <v>8.4499999999999993</v>
      </c>
      <c r="AI26" s="187">
        <f t="shared" si="23"/>
        <v>70.416666666666657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463">
        <f>Юнг!D27</f>
        <v>132.49381</v>
      </c>
      <c r="AR26" s="187">
        <f t="shared" si="24"/>
        <v>60.224459090909086</v>
      </c>
      <c r="AS26" s="195">
        <f>Юнг!C28</f>
        <v>30</v>
      </c>
      <c r="AT26" s="417">
        <f>Юнг!D28</f>
        <v>38.277250000000002</v>
      </c>
      <c r="AU26" s="187">
        <f t="shared" si="25"/>
        <v>127.59083333333334</v>
      </c>
      <c r="AV26" s="195"/>
      <c r="AW26" s="195"/>
      <c r="AX26" s="187" t="e">
        <f t="shared" si="26"/>
        <v>#DIV/0!</v>
      </c>
      <c r="AY26" s="187">
        <f>Юнг!C30</f>
        <v>50</v>
      </c>
      <c r="AZ26" s="187">
        <f>Юнг!D30</f>
        <v>61.185720000000003</v>
      </c>
      <c r="BA26" s="187">
        <f t="shared" si="27"/>
        <v>122.37143999999999</v>
      </c>
      <c r="BB26" s="187"/>
      <c r="BC26" s="187"/>
      <c r="BD26" s="187"/>
      <c r="BE26" s="187">
        <f>Юнг!C33</f>
        <v>0</v>
      </c>
      <c r="BF26" s="187">
        <f>Юнг!D31</f>
        <v>18.815999999999999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8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3.1869999999999998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2882.7709999999997</v>
      </c>
      <c r="CA26" s="195">
        <f t="shared" si="35"/>
        <v>1287.1970000000001</v>
      </c>
      <c r="CB26" s="187">
        <f t="shared" si="53"/>
        <v>44.651378829605278</v>
      </c>
      <c r="CC26" s="187">
        <f>Юнг!C41</f>
        <v>859.154</v>
      </c>
      <c r="CD26" s="187">
        <f>Юнг!D41</f>
        <v>853.60799999999995</v>
      </c>
      <c r="CE26" s="187">
        <f t="shared" si="36"/>
        <v>99.354481268783005</v>
      </c>
      <c r="CF26" s="187">
        <f>Юнг!C42</f>
        <v>600</v>
      </c>
      <c r="CG26" s="187">
        <f>Юнг!D42</f>
        <v>99.042000000000002</v>
      </c>
      <c r="CH26" s="187">
        <f t="shared" si="37"/>
        <v>16.506999999999998</v>
      </c>
      <c r="CI26" s="187">
        <f>Юнг!C43</f>
        <v>457.16199999999998</v>
      </c>
      <c r="CJ26" s="187">
        <f>Юнг!D43</f>
        <v>439.43700000000001</v>
      </c>
      <c r="CK26" s="187">
        <f t="shared" si="7"/>
        <v>96.122818606970839</v>
      </c>
      <c r="CL26" s="187">
        <f>Юнг!C44</f>
        <v>86.355000000000004</v>
      </c>
      <c r="CM26" s="187">
        <f>Юнг!D44</f>
        <v>85.376000000000005</v>
      </c>
      <c r="CN26" s="187">
        <f t="shared" si="8"/>
        <v>98.866307683399924</v>
      </c>
      <c r="CO26" s="187">
        <f>Юнг!C45</f>
        <v>840</v>
      </c>
      <c r="CP26" s="187">
        <f>Юнг!D45</f>
        <v>120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-350.32100000000003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6254.829920000001</v>
      </c>
      <c r="DH26" s="195">
        <f t="shared" si="39"/>
        <v>3887.9306000000001</v>
      </c>
      <c r="DI26" s="187">
        <f t="shared" si="40"/>
        <v>62.158854033236445</v>
      </c>
      <c r="DJ26" s="195">
        <f t="shared" si="41"/>
        <v>1542.0800000000002</v>
      </c>
      <c r="DK26" s="195">
        <f t="shared" si="41"/>
        <v>1204.4703099999999</v>
      </c>
      <c r="DL26" s="187">
        <f t="shared" si="42"/>
        <v>78.106862808673981</v>
      </c>
      <c r="DM26" s="187">
        <f>Юнг!C57</f>
        <v>1526.854</v>
      </c>
      <c r="DN26" s="187">
        <f>Юнг!D57</f>
        <v>1194.27181</v>
      </c>
      <c r="DO26" s="187">
        <f t="shared" si="43"/>
        <v>78.217813229031719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10.226000000000001</v>
      </c>
      <c r="DW26" s="187">
        <f>Юнг!D62</f>
        <v>10.198499999999999</v>
      </c>
      <c r="DX26" s="187">
        <f t="shared" si="46"/>
        <v>99.731077645218065</v>
      </c>
      <c r="DY26" s="187">
        <f>Юнг!C64</f>
        <v>85.376000000000005</v>
      </c>
      <c r="DZ26" s="187">
        <f>Юнг!D64</f>
        <v>67.317959999999999</v>
      </c>
      <c r="EA26" s="187">
        <f t="shared" si="47"/>
        <v>78.848809970014983</v>
      </c>
      <c r="EB26" s="187">
        <f>Юнг!C65</f>
        <v>193.8</v>
      </c>
      <c r="EC26" s="187">
        <f>Юнг!D65</f>
        <v>165.29274000000001</v>
      </c>
      <c r="ED26" s="187">
        <f t="shared" si="48"/>
        <v>85.290371517027864</v>
      </c>
      <c r="EE26" s="195">
        <f>Юнг!C70</f>
        <v>2555.1359200000002</v>
      </c>
      <c r="EF26" s="195">
        <f>Юнг!D70</f>
        <v>1243.7748100000001</v>
      </c>
      <c r="EG26" s="187">
        <f t="shared" si="49"/>
        <v>48.677442176931237</v>
      </c>
      <c r="EH26" s="195">
        <f>Юнг!C75</f>
        <v>928.19799999999998</v>
      </c>
      <c r="EI26" s="195">
        <f>Юнг!D75</f>
        <v>501.77381000000003</v>
      </c>
      <c r="EJ26" s="187">
        <f t="shared" si="50"/>
        <v>54.058919540873831</v>
      </c>
      <c r="EK26" s="195">
        <f>Юнг!C79</f>
        <v>945.6</v>
      </c>
      <c r="EL26" s="197">
        <f>Юнг!D79</f>
        <v>700.66097000000002</v>
      </c>
      <c r="EM26" s="187">
        <f t="shared" si="10"/>
        <v>74.096972292724189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4.6399999999999997</v>
      </c>
      <c r="ER26" s="198">
        <f>Юнг!D86</f>
        <v>4.6399999999999997</v>
      </c>
      <c r="ES26" s="187">
        <f t="shared" si="51"/>
        <v>100</v>
      </c>
      <c r="ET26" s="187">
        <f>Юнг!C92</f>
        <v>0</v>
      </c>
      <c r="EU26" s="187">
        <f>Юнг!D92</f>
        <v>0</v>
      </c>
      <c r="EV26" s="187" t="e">
        <f t="shared" si="52"/>
        <v>#DIV/0!</v>
      </c>
      <c r="EW26" s="429">
        <f t="shared" si="12"/>
        <v>-646.64892000000054</v>
      </c>
      <c r="EX26" s="429">
        <f t="shared" si="13"/>
        <v>37.059459999999945</v>
      </c>
      <c r="EY26" s="187">
        <f t="shared" si="54"/>
        <v>-5.7310016074874</v>
      </c>
      <c r="EZ26" s="430"/>
      <c r="FA26" s="431"/>
      <c r="FC26" s="431"/>
    </row>
    <row r="27" spans="1:170" s="169" customFormat="1" ht="15" customHeight="1">
      <c r="A27" s="181">
        <v>14</v>
      </c>
      <c r="B27" s="194" t="s">
        <v>317</v>
      </c>
      <c r="C27" s="412">
        <f t="shared" si="14"/>
        <v>7296.9101000000001</v>
      </c>
      <c r="D27" s="415">
        <f t="shared" si="0"/>
        <v>7109.0708400000003</v>
      </c>
      <c r="E27" s="187">
        <f t="shared" si="1"/>
        <v>97.425769847431738</v>
      </c>
      <c r="F27" s="185">
        <f>I27+X27+AA27+AD27+AG27+AM27+AS27+BE27+BQ27+BN27+AJ27+AY27+L27+R27+O27+U27+AP27</f>
        <v>1723.5400000000002</v>
      </c>
      <c r="G27" s="185">
        <f t="shared" si="3"/>
        <v>1582.8302399999998</v>
      </c>
      <c r="H27" s="187">
        <f t="shared" si="15"/>
        <v>91.836002645717514</v>
      </c>
      <c r="I27" s="195">
        <f>Юсь!C6</f>
        <v>130.19999999999999</v>
      </c>
      <c r="J27" s="195">
        <f>Юсь!D6</f>
        <v>113.92931</v>
      </c>
      <c r="K27" s="187">
        <f t="shared" si="16"/>
        <v>87.503310291858682</v>
      </c>
      <c r="L27" s="187">
        <f>Юсь!C8</f>
        <v>250.04</v>
      </c>
      <c r="M27" s="187">
        <f>Юсь!D8</f>
        <v>288.5249</v>
      </c>
      <c r="N27" s="184">
        <f t="shared" si="17"/>
        <v>115.39149736042233</v>
      </c>
      <c r="O27" s="184">
        <f>Юсь!C9</f>
        <v>2.68</v>
      </c>
      <c r="P27" s="184">
        <f>Юсь!D9</f>
        <v>2.7386200000000001</v>
      </c>
      <c r="Q27" s="184">
        <f t="shared" si="18"/>
        <v>102.18731343283582</v>
      </c>
      <c r="R27" s="184">
        <f>Юсь!C10</f>
        <v>417.62</v>
      </c>
      <c r="S27" s="184">
        <f>Юсь!D10</f>
        <v>422.13808</v>
      </c>
      <c r="T27" s="184">
        <f t="shared" si="19"/>
        <v>101.0818638954073</v>
      </c>
      <c r="U27" s="184">
        <f>Юсь!C11</f>
        <v>0</v>
      </c>
      <c r="V27" s="419">
        <f>Юсь!D11</f>
        <v>-64.370019999999997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121.60030999999999</v>
      </c>
      <c r="AC27" s="187">
        <f t="shared" si="22"/>
        <v>115.80981904761904</v>
      </c>
      <c r="AD27" s="195">
        <f>Юсь!C16</f>
        <v>420</v>
      </c>
      <c r="AE27" s="195">
        <f>Юсь!D16</f>
        <v>276.91235</v>
      </c>
      <c r="AF27" s="187">
        <f t="shared" si="4"/>
        <v>65.931511904761905</v>
      </c>
      <c r="AG27" s="187">
        <f>Юсь!C18</f>
        <v>8</v>
      </c>
      <c r="AH27" s="187">
        <f>Юсь!D18</f>
        <v>6.25</v>
      </c>
      <c r="AI27" s="187">
        <f t="shared" si="23"/>
        <v>78.125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63">
        <f>Юсь!D27</f>
        <v>0</v>
      </c>
      <c r="AR27" s="187" t="e">
        <f t="shared" si="24"/>
        <v>#DIV/0!</v>
      </c>
      <c r="AS27" s="188">
        <f>Юсь!C28</f>
        <v>60</v>
      </c>
      <c r="AT27" s="417">
        <f>Юсь!D28</f>
        <v>61.5</v>
      </c>
      <c r="AU27" s="187">
        <f t="shared" si="25"/>
        <v>102.49999999999999</v>
      </c>
      <c r="AV27" s="195"/>
      <c r="AW27" s="195"/>
      <c r="AX27" s="187" t="e">
        <f t="shared" si="26"/>
        <v>#DIV/0!</v>
      </c>
      <c r="AY27" s="187">
        <f>Юсь!C30</f>
        <v>300</v>
      </c>
      <c r="AZ27" s="187">
        <f>Юсь!D30</f>
        <v>352.18946999999997</v>
      </c>
      <c r="BA27" s="187">
        <f t="shared" si="27"/>
        <v>117.39648999999999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8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5573.3701000000001</v>
      </c>
      <c r="CA27" s="186">
        <f t="shared" si="35"/>
        <v>5526.240600000001</v>
      </c>
      <c r="CB27" s="187">
        <f t="shared" si="53"/>
        <v>99.154380578458273</v>
      </c>
      <c r="CC27" s="187">
        <f>Юсь!C39</f>
        <v>2768.5630000000001</v>
      </c>
      <c r="CD27" s="187">
        <f>Юсь!D39</f>
        <v>2768.5630000000001</v>
      </c>
      <c r="CE27" s="187">
        <f t="shared" si="36"/>
        <v>100</v>
      </c>
      <c r="CF27" s="358">
        <f>Юсь!C41</f>
        <v>1046.8801000000001</v>
      </c>
      <c r="CG27" s="187">
        <f>Юсь!D41</f>
        <v>1046.8801000000001</v>
      </c>
      <c r="CH27" s="187">
        <f t="shared" si="37"/>
        <v>100</v>
      </c>
      <c r="CI27" s="187">
        <f>Юсь!C42</f>
        <v>1502.36</v>
      </c>
      <c r="CJ27" s="187">
        <f>Юсь!D42</f>
        <v>1460.22</v>
      </c>
      <c r="CK27" s="187">
        <f t="shared" si="7"/>
        <v>97.195079741207181</v>
      </c>
      <c r="CL27" s="187">
        <f>Юсь!C43</f>
        <v>177.46700000000001</v>
      </c>
      <c r="CM27" s="187">
        <f>Юсь!D43</f>
        <v>172.47749999999999</v>
      </c>
      <c r="CN27" s="187">
        <f t="shared" si="8"/>
        <v>97.188491381496263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7496.7264799999994</v>
      </c>
      <c r="DH27" s="195">
        <f t="shared" si="39"/>
        <v>6611.6633600000005</v>
      </c>
      <c r="DI27" s="187">
        <f t="shared" si="40"/>
        <v>88.19400544542745</v>
      </c>
      <c r="DJ27" s="195">
        <f t="shared" si="41"/>
        <v>1315.7334999999998</v>
      </c>
      <c r="DK27" s="195">
        <f t="shared" si="41"/>
        <v>1139.6824999999999</v>
      </c>
      <c r="DL27" s="187">
        <f t="shared" si="42"/>
        <v>86.619554795861021</v>
      </c>
      <c r="DM27" s="187">
        <f>Юсь!C59</f>
        <v>1290.7629999999999</v>
      </c>
      <c r="DN27" s="187">
        <f>Юсь!D59</f>
        <v>1119.712</v>
      </c>
      <c r="DO27" s="187">
        <f t="shared" si="43"/>
        <v>86.748070714763287</v>
      </c>
      <c r="DP27" s="187">
        <f>Юсь!C62</f>
        <v>15.714</v>
      </c>
      <c r="DQ27" s="187">
        <f>Юсь!D62</f>
        <v>15.714</v>
      </c>
      <c r="DR27" s="187">
        <f t="shared" si="44"/>
        <v>100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170.749</v>
      </c>
      <c r="DZ27" s="187">
        <f>Юсь!D66</f>
        <v>137.83233000000001</v>
      </c>
      <c r="EA27" s="187">
        <f t="shared" si="47"/>
        <v>80.722188709743548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1575.7813799999999</v>
      </c>
      <c r="EF27" s="195">
        <f>Юсь!D72</f>
        <v>1345.69823</v>
      </c>
      <c r="EG27" s="187">
        <f t="shared" si="49"/>
        <v>85.398789900665022</v>
      </c>
      <c r="EH27" s="195">
        <f>Юсь!C77</f>
        <v>713.04</v>
      </c>
      <c r="EI27" s="195">
        <f>Юсь!D77</f>
        <v>662.20764999999994</v>
      </c>
      <c r="EJ27" s="187">
        <f t="shared" si="50"/>
        <v>92.871038090429707</v>
      </c>
      <c r="EK27" s="195">
        <f>Юсь!C81</f>
        <v>3714.4225999999999</v>
      </c>
      <c r="EL27" s="197">
        <f>Юсь!D81</f>
        <v>3326.2426500000001</v>
      </c>
      <c r="EM27" s="187">
        <f t="shared" si="10"/>
        <v>89.549386491456303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-199.8163799999993</v>
      </c>
      <c r="EX27" s="191">
        <f t="shared" si="13"/>
        <v>497.40747999999985</v>
      </c>
      <c r="EY27" s="184">
        <f t="shared" si="54"/>
        <v>-248.93228473061194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13">
        <f t="shared" si="14"/>
        <v>8800.1514900000002</v>
      </c>
      <c r="D28" s="415">
        <f>G28+CA28+CY28</f>
        <v>7433.6415500000003</v>
      </c>
      <c r="E28" s="187">
        <f>D28/C28*100</f>
        <v>84.471745269921485</v>
      </c>
      <c r="F28" s="185">
        <f t="shared" si="2"/>
        <v>2660.75</v>
      </c>
      <c r="G28" s="185">
        <f>J28+Y28+AB28+AE28+AH28+AN28+AT28+BF28+AK28+BR28+BO28+AZ28+M28+S28+P28+V28+AQ28</f>
        <v>2172.8456200000001</v>
      </c>
      <c r="H28" s="187">
        <f>G28/F28*100</f>
        <v>81.662900310062952</v>
      </c>
      <c r="I28" s="195">
        <f>Яра!C6</f>
        <v>121.5</v>
      </c>
      <c r="J28" s="195">
        <f>Яра!D6</f>
        <v>122.40165</v>
      </c>
      <c r="K28" s="187">
        <f t="shared" si="16"/>
        <v>100.7420987654321</v>
      </c>
      <c r="L28" s="187">
        <f>Яра!C8</f>
        <v>273.13</v>
      </c>
      <c r="M28" s="187">
        <f>Яра!D8</f>
        <v>315.17214000000001</v>
      </c>
      <c r="N28" s="184">
        <f t="shared" si="17"/>
        <v>115.39272141471095</v>
      </c>
      <c r="O28" s="184">
        <f>Яра!C9</f>
        <v>2.93</v>
      </c>
      <c r="P28" s="184">
        <f>Яра!D9</f>
        <v>2.9915799999999999</v>
      </c>
      <c r="Q28" s="184">
        <f t="shared" si="18"/>
        <v>102.10170648464162</v>
      </c>
      <c r="R28" s="184">
        <f>Яра!C10</f>
        <v>456.19</v>
      </c>
      <c r="S28" s="184">
        <f>Яра!D10</f>
        <v>461.12536</v>
      </c>
      <c r="T28" s="184">
        <f t="shared" si="19"/>
        <v>101.08186501238518</v>
      </c>
      <c r="U28" s="184">
        <f>Яра!C11</f>
        <v>0</v>
      </c>
      <c r="V28" s="419">
        <f>Яра!D11</f>
        <v>-70.315160000000006</v>
      </c>
      <c r="W28" s="184" t="e">
        <f t="shared" si="20"/>
        <v>#DIV/0!</v>
      </c>
      <c r="X28" s="195">
        <f>Яра!C13</f>
        <v>25</v>
      </c>
      <c r="Y28" s="195">
        <f>Яра!D13</f>
        <v>21.5001</v>
      </c>
      <c r="Z28" s="187">
        <f t="shared" si="21"/>
        <v>86.000399999999999</v>
      </c>
      <c r="AA28" s="195">
        <f>Яра!C15</f>
        <v>155</v>
      </c>
      <c r="AB28" s="195">
        <f>Яра!D15</f>
        <v>138.60238000000001</v>
      </c>
      <c r="AC28" s="187">
        <f t="shared" si="22"/>
        <v>89.420890322580647</v>
      </c>
      <c r="AD28" s="195">
        <f>Яра!C16</f>
        <v>1500</v>
      </c>
      <c r="AE28" s="195">
        <f>Яра!D16</f>
        <v>1051.82312</v>
      </c>
      <c r="AF28" s="187">
        <f t="shared" si="4"/>
        <v>70.12154133333334</v>
      </c>
      <c r="AG28" s="187">
        <f>Яра!C18</f>
        <v>12</v>
      </c>
      <c r="AH28" s="187">
        <f>Яра!D18</f>
        <v>13.63721</v>
      </c>
      <c r="AI28" s="187">
        <f t="shared" si="23"/>
        <v>113.64341666666667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463">
        <f>Яра!D27</f>
        <v>8.5763599999999993</v>
      </c>
      <c r="AR28" s="187">
        <f t="shared" si="24"/>
        <v>28.587866666666667</v>
      </c>
      <c r="AS28" s="188">
        <f>Яра!C28</f>
        <v>55</v>
      </c>
      <c r="AT28" s="417">
        <f>Яра!D28</f>
        <v>53.003459999999997</v>
      </c>
      <c r="AU28" s="187">
        <f t="shared" si="25"/>
        <v>96.369927272727267</v>
      </c>
      <c r="AV28" s="195"/>
      <c r="AW28" s="195"/>
      <c r="AX28" s="187" t="e">
        <f t="shared" si="26"/>
        <v>#DIV/0!</v>
      </c>
      <c r="AY28" s="187">
        <f>Яра!C31</f>
        <v>30</v>
      </c>
      <c r="AZ28" s="187">
        <f>Яра!D31</f>
        <v>41.379269999999998</v>
      </c>
      <c r="BA28" s="187">
        <f t="shared" si="27"/>
        <v>137.93089999999998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8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6139.4014900000002</v>
      </c>
      <c r="CA28" s="186">
        <f t="shared" si="35"/>
        <v>5260.7959300000002</v>
      </c>
      <c r="CB28" s="187">
        <f t="shared" si="53"/>
        <v>85.689068202640058</v>
      </c>
      <c r="CC28" s="187">
        <f>Яра!C42</f>
        <v>1821.173</v>
      </c>
      <c r="CD28" s="187">
        <f>Яра!D42</f>
        <v>1685.8910000000001</v>
      </c>
      <c r="CE28" s="187">
        <f t="shared" si="36"/>
        <v>92.571710650223793</v>
      </c>
      <c r="CF28" s="187">
        <f>Яра!C43</f>
        <v>239.46700000000001</v>
      </c>
      <c r="CG28" s="187">
        <f>Яра!D43</f>
        <v>0</v>
      </c>
      <c r="CH28" s="187">
        <f t="shared" si="37"/>
        <v>0</v>
      </c>
      <c r="CI28" s="187">
        <f>Яра!C44</f>
        <v>3239.2814899999998</v>
      </c>
      <c r="CJ28" s="187">
        <f>Яра!D44</f>
        <v>2465.4258300000001</v>
      </c>
      <c r="CK28" s="187">
        <f t="shared" si="7"/>
        <v>76.110268206422532</v>
      </c>
      <c r="CL28" s="187">
        <f>Яра!C45</f>
        <v>175.78700000000001</v>
      </c>
      <c r="CM28" s="187">
        <f>Яра!D45</f>
        <v>171.7861</v>
      </c>
      <c r="CN28" s="187">
        <f t="shared" si="8"/>
        <v>97.724006894707799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937.69299999999998</v>
      </c>
      <c r="CT28" s="187">
        <f t="shared" si="9"/>
        <v>141.28414794189484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10998.73682</v>
      </c>
      <c r="DH28" s="195">
        <f t="shared" si="39"/>
        <v>8549.1344900000004</v>
      </c>
      <c r="DI28" s="187">
        <f t="shared" si="40"/>
        <v>77.728330352030369</v>
      </c>
      <c r="DJ28" s="195">
        <f t="shared" si="41"/>
        <v>1309.998</v>
      </c>
      <c r="DK28" s="195">
        <f t="shared" si="41"/>
        <v>1006.71091</v>
      </c>
      <c r="DL28" s="187">
        <f t="shared" si="42"/>
        <v>76.848278394318157</v>
      </c>
      <c r="DM28" s="187">
        <f>Яра!C59</f>
        <v>1283.673</v>
      </c>
      <c r="DN28" s="187">
        <f>Яра!D59</f>
        <v>986.40391</v>
      </c>
      <c r="DO28" s="187">
        <f t="shared" si="43"/>
        <v>76.842304075882254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21.324999999999999</v>
      </c>
      <c r="DW28" s="187">
        <f>Яра!D64</f>
        <v>20.306999999999999</v>
      </c>
      <c r="DX28" s="187">
        <f t="shared" si="46"/>
        <v>95.226260257913239</v>
      </c>
      <c r="DY28" s="187">
        <f>Яра!C66</f>
        <v>170.749</v>
      </c>
      <c r="DZ28" s="187">
        <f>Яра!D65</f>
        <v>142.11234999999999</v>
      </c>
      <c r="EA28" s="187">
        <f t="shared" si="47"/>
        <v>83.228803682598425</v>
      </c>
      <c r="EB28" s="187">
        <f>Яра!C67</f>
        <v>41.530230000000003</v>
      </c>
      <c r="EC28" s="187">
        <f>Яра!D67</f>
        <v>39.530230000000003</v>
      </c>
      <c r="ED28" s="187">
        <f t="shared" si="48"/>
        <v>95.18423086026732</v>
      </c>
      <c r="EE28" s="195">
        <f>Яра!C73</f>
        <v>5712.3555900000001</v>
      </c>
      <c r="EF28" s="195">
        <f>Яра!D73</f>
        <v>4351.0243300000002</v>
      </c>
      <c r="EG28" s="187">
        <f t="shared" si="49"/>
        <v>76.168653394352162</v>
      </c>
      <c r="EH28" s="195">
        <f>Яра!C78</f>
        <v>583.77499999999998</v>
      </c>
      <c r="EI28" s="195">
        <f>Яра!D78</f>
        <v>456.90724</v>
      </c>
      <c r="EJ28" s="187">
        <f t="shared" si="50"/>
        <v>78.267695601901423</v>
      </c>
      <c r="EK28" s="195">
        <f>Яра!C82</f>
        <v>3124.8290000000002</v>
      </c>
      <c r="EL28" s="197">
        <f>Яра!D82</f>
        <v>2504.2824300000002</v>
      </c>
      <c r="EM28" s="187">
        <f t="shared" si="10"/>
        <v>80.141423098671964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55.5</v>
      </c>
      <c r="ER28" s="198">
        <f>Яра!D89</f>
        <v>48.567</v>
      </c>
      <c r="ES28" s="187">
        <f t="shared" si="51"/>
        <v>87.508108108108104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-1115.4929400000001</v>
      </c>
      <c r="EY28" s="184">
        <f t="shared" si="54"/>
        <v>50.7368499543295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412">
        <f t="shared" si="14"/>
        <v>9374.128999999999</v>
      </c>
      <c r="D29" s="415">
        <f t="shared" si="0"/>
        <v>8356.5774099999999</v>
      </c>
      <c r="E29" s="184">
        <f t="shared" si="1"/>
        <v>89.145107881489579</v>
      </c>
      <c r="F29" s="185">
        <f t="shared" si="2"/>
        <v>1870.1619999999998</v>
      </c>
      <c r="G29" s="185">
        <f t="shared" si="3"/>
        <v>1515.3511799999999</v>
      </c>
      <c r="H29" s="184">
        <f t="shared" si="15"/>
        <v>81.027802938996729</v>
      </c>
      <c r="I29" s="186">
        <f>Яро!C6</f>
        <v>101.6</v>
      </c>
      <c r="J29" s="195">
        <f>Яро!D6</f>
        <v>91.125690000000006</v>
      </c>
      <c r="K29" s="184">
        <f t="shared" si="16"/>
        <v>89.690639763779529</v>
      </c>
      <c r="L29" s="184">
        <f>Яро!C8</f>
        <v>156.87</v>
      </c>
      <c r="M29" s="184">
        <f>Яро!D8</f>
        <v>181.01722000000001</v>
      </c>
      <c r="N29" s="184">
        <f t="shared" si="17"/>
        <v>115.3931408172372</v>
      </c>
      <c r="O29" s="184">
        <f>Яро!C9</f>
        <v>1.68</v>
      </c>
      <c r="P29" s="184">
        <f>Яро!D9</f>
        <v>1.7182500000000001</v>
      </c>
      <c r="Q29" s="184">
        <f t="shared" si="18"/>
        <v>102.27678571428571</v>
      </c>
      <c r="R29" s="184">
        <f>Яро!C10</f>
        <v>262.01</v>
      </c>
      <c r="S29" s="184">
        <f>Яро!D10</f>
        <v>264.84458999999998</v>
      </c>
      <c r="T29" s="184">
        <f t="shared" si="19"/>
        <v>101.08186328766078</v>
      </c>
      <c r="U29" s="184">
        <f>Яро!C11</f>
        <v>0</v>
      </c>
      <c r="V29" s="419">
        <f>Яро!D11</f>
        <v>-40.385080000000002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76.696910000000003</v>
      </c>
      <c r="AC29" s="184">
        <f t="shared" si="22"/>
        <v>32.636982978723402</v>
      </c>
      <c r="AD29" s="186">
        <f>Яро!C16</f>
        <v>1000</v>
      </c>
      <c r="AE29" s="186">
        <f>Яро!D16</f>
        <v>801.77916000000005</v>
      </c>
      <c r="AF29" s="184">
        <f t="shared" si="4"/>
        <v>80.17791600000001</v>
      </c>
      <c r="AG29" s="184">
        <f>Яро!C18</f>
        <v>8.0020000000000007</v>
      </c>
      <c r="AH29" s="184">
        <f>Яро!D18</f>
        <v>3.931</v>
      </c>
      <c r="AI29" s="184">
        <f t="shared" si="23"/>
        <v>49.125218695326168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100</v>
      </c>
      <c r="AQ29" s="462">
        <f>Яро!D27</f>
        <v>134.51964000000001</v>
      </c>
      <c r="AR29" s="184">
        <f t="shared" si="24"/>
        <v>134.51964000000001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7503.9669999999996</v>
      </c>
      <c r="CA29" s="186">
        <f t="shared" si="35"/>
        <v>6841.2262300000002</v>
      </c>
      <c r="CB29" s="184">
        <f t="shared" si="53"/>
        <v>91.168127871564479</v>
      </c>
      <c r="CC29" s="187">
        <f>Яро!C39</f>
        <v>975.07100000000003</v>
      </c>
      <c r="CD29" s="187">
        <f>Яро!D39</f>
        <v>918.803</v>
      </c>
      <c r="CE29" s="184">
        <f t="shared" si="36"/>
        <v>94.229343299103334</v>
      </c>
      <c r="CF29" s="184">
        <f>Яро!C40</f>
        <v>682</v>
      </c>
      <c r="CG29" s="184">
        <f>Яро!D40</f>
        <v>584</v>
      </c>
      <c r="CH29" s="184">
        <f t="shared" si="37"/>
        <v>85.630498533724335</v>
      </c>
      <c r="CI29" s="184">
        <f>Яро!C41</f>
        <v>5457.0300900000002</v>
      </c>
      <c r="CJ29" s="184">
        <f>Яро!D41</f>
        <v>5003.0500300000003</v>
      </c>
      <c r="CK29" s="184">
        <f t="shared" si="7"/>
        <v>91.680821756289788</v>
      </c>
      <c r="CL29" s="184">
        <f>Яро!C42</f>
        <v>88.876999999999995</v>
      </c>
      <c r="CM29" s="184">
        <f>Яро!D42</f>
        <v>87.4512</v>
      </c>
      <c r="CN29" s="184">
        <f t="shared" si="8"/>
        <v>98.395760432957914</v>
      </c>
      <c r="CO29" s="184">
        <f>Яро!C44</f>
        <v>46.06691</v>
      </c>
      <c r="CP29" s="184">
        <f>Яро!D44</f>
        <v>0</v>
      </c>
      <c r="CQ29" s="184">
        <f>Яро!E44</f>
        <v>0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9427.7888700000003</v>
      </c>
      <c r="DH29" s="186">
        <f t="shared" si="39"/>
        <v>8217.6351399999985</v>
      </c>
      <c r="DI29" s="184">
        <f t="shared" si="40"/>
        <v>87.163970824051745</v>
      </c>
      <c r="DJ29" s="186">
        <f t="shared" si="41"/>
        <v>1313.3093799999999</v>
      </c>
      <c r="DK29" s="186">
        <f t="shared" si="41"/>
        <v>1132.3674899999999</v>
      </c>
      <c r="DL29" s="184">
        <f t="shared" si="42"/>
        <v>86.22244744798823</v>
      </c>
      <c r="DM29" s="184">
        <f>Яро!C55</f>
        <v>1300.05538</v>
      </c>
      <c r="DN29" s="184">
        <f>Яро!D55</f>
        <v>1124.11349</v>
      </c>
      <c r="DO29" s="184">
        <f t="shared" si="43"/>
        <v>86.466584985018088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8.2539999999999996</v>
      </c>
      <c r="DW29" s="184">
        <f>Яро!D60</f>
        <v>8.2539999999999996</v>
      </c>
      <c r="DX29" s="184">
        <f t="shared" si="46"/>
        <v>100</v>
      </c>
      <c r="DY29" s="184">
        <f>Яро!C61</f>
        <v>85.376999999999995</v>
      </c>
      <c r="DZ29" s="184">
        <f>Яро!D61</f>
        <v>69.299880000000002</v>
      </c>
      <c r="EA29" s="184">
        <f t="shared" si="47"/>
        <v>81.169261042201072</v>
      </c>
      <c r="EB29" s="184">
        <f>Яро!C63</f>
        <v>15.635999999999999</v>
      </c>
      <c r="EC29" s="184">
        <f>Яро!D63</f>
        <v>15.635999999999999</v>
      </c>
      <c r="ED29" s="184">
        <f t="shared" si="48"/>
        <v>100</v>
      </c>
      <c r="EE29" s="186">
        <f>Яро!C68</f>
        <v>2190.9008699999999</v>
      </c>
      <c r="EF29" s="186">
        <f>Яро!D68</f>
        <v>1918.9057499999999</v>
      </c>
      <c r="EG29" s="184">
        <f t="shared" si="49"/>
        <v>87.585238395564645</v>
      </c>
      <c r="EH29" s="186">
        <f>Яро!C73</f>
        <v>476.05061999999998</v>
      </c>
      <c r="EI29" s="186">
        <f>Яро!D73</f>
        <v>326.24901999999997</v>
      </c>
      <c r="EJ29" s="184">
        <f t="shared" si="50"/>
        <v>68.532422035286928</v>
      </c>
      <c r="EK29" s="186">
        <f>Яро!C78</f>
        <v>5344.5</v>
      </c>
      <c r="EL29" s="190">
        <f>Яро!D77</f>
        <v>4753.1620000000003</v>
      </c>
      <c r="EM29" s="184">
        <f t="shared" si="10"/>
        <v>88.935578632238759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2.0150000000000001</v>
      </c>
      <c r="ER29" s="185">
        <f>Яро!D84</f>
        <v>2.0150000000000001</v>
      </c>
      <c r="ES29" s="184">
        <f t="shared" si="51"/>
        <v>100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-53.65987000000132</v>
      </c>
      <c r="EX29" s="191">
        <f t="shared" si="13"/>
        <v>138.94227000000137</v>
      </c>
      <c r="EY29" s="184">
        <f t="shared" si="54"/>
        <v>-258.93143237208358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6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419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7.25" customHeight="1">
      <c r="A31" s="498" t="s">
        <v>180</v>
      </c>
      <c r="B31" s="499"/>
      <c r="C31" s="287">
        <f>SUM(C14:C29)</f>
        <v>108354.66757999999</v>
      </c>
      <c r="D31" s="287">
        <f>SUM(D14:D29)</f>
        <v>94700.707219999997</v>
      </c>
      <c r="E31" s="204">
        <f>D31/C31*100</f>
        <v>87.398825851300728</v>
      </c>
      <c r="F31" s="236">
        <f>SUM(F14:F29)</f>
        <v>38226.002599999993</v>
      </c>
      <c r="G31" s="235">
        <f>SUM(G14:G29)</f>
        <v>33599.208070000001</v>
      </c>
      <c r="H31" s="238">
        <f>G31/F31*100</f>
        <v>87.896211439068978</v>
      </c>
      <c r="I31" s="235">
        <f>SUM(I14:I29)</f>
        <v>5201.9000000000005</v>
      </c>
      <c r="J31" s="235">
        <f>SUM(J14:J29)</f>
        <v>4572.91255</v>
      </c>
      <c r="K31" s="238">
        <f>J31/I31*100</f>
        <v>87.908505546050478</v>
      </c>
      <c r="L31" s="238">
        <f>SUM(L14:L29)</f>
        <v>3011.7400000000002</v>
      </c>
      <c r="M31" s="238">
        <f>SUM(M14:M29)</f>
        <v>3467.8121100000003</v>
      </c>
      <c r="N31" s="238">
        <f>M31/L31*100</f>
        <v>115.14314349844277</v>
      </c>
      <c r="O31" s="238">
        <f>SUM(O14:O29)</f>
        <v>32.24</v>
      </c>
      <c r="P31" s="238">
        <f>SUM(P14:P29)</f>
        <v>32.915860000000002</v>
      </c>
      <c r="Q31" s="238">
        <f>P31/O31*100</f>
        <v>102.09633995037221</v>
      </c>
      <c r="R31" s="238">
        <f>SUM(R14:R29)</f>
        <v>5091.2667000000001</v>
      </c>
      <c r="S31" s="238">
        <f>SUM(S14:S29)</f>
        <v>5073.7234900000003</v>
      </c>
      <c r="T31" s="238">
        <f>S31/R31*100</f>
        <v>99.655425436660011</v>
      </c>
      <c r="U31" s="238">
        <f>SUM(U14:U29)</f>
        <v>0</v>
      </c>
      <c r="V31" s="421">
        <f>SUM(V14:V29)</f>
        <v>-773.67084</v>
      </c>
      <c r="W31" s="238" t="e">
        <f>V31/U31*100</f>
        <v>#DIV/0!</v>
      </c>
      <c r="X31" s="235">
        <f>SUM(X14:X29)</f>
        <v>470</v>
      </c>
      <c r="Y31" s="235">
        <f>SUM(Y14:Y29)</f>
        <v>425.22943999999995</v>
      </c>
      <c r="Z31" s="238">
        <f>Y31/X31*100</f>
        <v>90.474348936170202</v>
      </c>
      <c r="AA31" s="235">
        <f>SUM(AA14:AA29)</f>
        <v>3021.4</v>
      </c>
      <c r="AB31" s="235">
        <f>SUM(AB14:AB29)</f>
        <v>3099.5407799999998</v>
      </c>
      <c r="AC31" s="238">
        <f>AB31/AA31*100</f>
        <v>102.58624412523996</v>
      </c>
      <c r="AD31" s="235">
        <f>SUM(AD14:AD29)</f>
        <v>17949.2</v>
      </c>
      <c r="AE31" s="235">
        <f>SUM(AE14:AE29)</f>
        <v>14992.453070000001</v>
      </c>
      <c r="AF31" s="238">
        <f>AE31/AD31*100</f>
        <v>83.52713808971987</v>
      </c>
      <c r="AG31" s="360">
        <f>SUM(AG14:AG29)</f>
        <v>162.00200000000001</v>
      </c>
      <c r="AH31" s="238">
        <f>SUM(AH14:AH29)</f>
        <v>129.30321000000004</v>
      </c>
      <c r="AI31" s="184">
        <f t="shared" si="23"/>
        <v>79.815810915914625</v>
      </c>
      <c r="AJ31" s="235">
        <f>AJ14+AJ15+AJ16+AJ17+AJ18+AJ19+AJ20+AJ21+AJ22+AJ23+AJ24+AJ25+AJ26+AJ27+AJ28+AJ29</f>
        <v>0</v>
      </c>
      <c r="AK31" s="235">
        <f>AK14+AK15+AK16+AK17+AK18+AK19+AK20+AK21+AK22+AK23+AK24+AK25+AK26+AK27+AK28+AK29</f>
        <v>0</v>
      </c>
      <c r="AL31" s="184" t="e">
        <f>AK31/AJ31*100</f>
        <v>#DIV/0!</v>
      </c>
      <c r="AM31" s="235">
        <f>SUM(AM14:AM29)</f>
        <v>0</v>
      </c>
      <c r="AN31" s="235">
        <f>SUM(AN14:AN29)</f>
        <v>0</v>
      </c>
      <c r="AO31" s="238" t="e">
        <f>AN31/AM31*100</f>
        <v>#DIV/0!</v>
      </c>
      <c r="AP31" s="235">
        <f>SUM(AP14:AP29)</f>
        <v>1571.3</v>
      </c>
      <c r="AQ31" s="465">
        <f>SUM(AQ14:AQ29)</f>
        <v>814.20179000000007</v>
      </c>
      <c r="AR31" s="238">
        <f>AQ31/AP31*100</f>
        <v>51.817080761153193</v>
      </c>
      <c r="AS31" s="235">
        <f>SUM(AS14:AS29)</f>
        <v>360</v>
      </c>
      <c r="AT31" s="384">
        <f>SUM(AT14:AT29)</f>
        <v>373.58022000000005</v>
      </c>
      <c r="AU31" s="238">
        <f>AT31/AS31*100</f>
        <v>103.77228333333335</v>
      </c>
      <c r="AV31" s="235">
        <f>SUM(AV14:AV29)</f>
        <v>0</v>
      </c>
      <c r="AW31" s="235">
        <f>SUM(AW14:AW29)</f>
        <v>0</v>
      </c>
      <c r="AX31" s="238" t="e">
        <f>AW31/AV31*100</f>
        <v>#DIV/0!</v>
      </c>
      <c r="AY31" s="238">
        <f>SUM(AY14:AY29)</f>
        <v>765</v>
      </c>
      <c r="AZ31" s="238">
        <f>SUM(AZ14:AZ29)</f>
        <v>819.78510999999992</v>
      </c>
      <c r="BA31" s="184">
        <f t="shared" si="27"/>
        <v>107.1614522875817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6">
        <f>SUM(BE14:BE29)</f>
        <v>586</v>
      </c>
      <c r="BF31" s="235">
        <f>SUM(BF14:BF29)</f>
        <v>610.01600000000008</v>
      </c>
      <c r="BG31" s="235">
        <f t="shared" si="28"/>
        <v>104.09829351535838</v>
      </c>
      <c r="BH31" s="235">
        <f>SUM(BH14:BH29)</f>
        <v>0</v>
      </c>
      <c r="BI31" s="235">
        <f>SUM(BI14:BI29)</f>
        <v>0</v>
      </c>
      <c r="BJ31" s="238" t="e">
        <f>BI31/BH31*100</f>
        <v>#DIV/0!</v>
      </c>
      <c r="BK31" s="238">
        <f>SUM(BK14:BK29)</f>
        <v>0</v>
      </c>
      <c r="BL31" s="238">
        <f>BL15+BL27+BL28+BL19+BL22+BL26+BL18</f>
        <v>0</v>
      </c>
      <c r="BM31" s="238" t="e">
        <f>BL31/BK31*100</f>
        <v>#DIV/0!</v>
      </c>
      <c r="BN31" s="238">
        <f>BN14+BN15+BN16+BN17+BN18+BN19+BN20+BN21+BN22+BN23+BN24+BN25+BN26+BN27+BN28+BN29</f>
        <v>3.9539</v>
      </c>
      <c r="BO31" s="238">
        <f>BO14+BO15+BO16+BO17+BO18+BO19+BO20+BO21+BO22+BO23+BO24+BO25+BO26+BO27+BO28+BO29</f>
        <v>38.133070000000004</v>
      </c>
      <c r="BP31" s="238">
        <f>BO31/BN31*100</f>
        <v>964.44194339765818</v>
      </c>
      <c r="BQ31" s="235">
        <f>SUM(BQ14:BQ29)</f>
        <v>0</v>
      </c>
      <c r="BR31" s="356">
        <f>SUM(BR14:BR29)</f>
        <v>-76.727790000000013</v>
      </c>
      <c r="BS31" s="238" t="e">
        <f>BR31/BQ31*100</f>
        <v>#DIV/0!</v>
      </c>
      <c r="BT31" s="238">
        <f t="shared" ref="BT31:BY31" si="55">SUM(BT14:BT29)</f>
        <v>0</v>
      </c>
      <c r="BU31" s="238"/>
      <c r="BV31" s="238" t="e">
        <f t="shared" si="55"/>
        <v>#DIV/0!</v>
      </c>
      <c r="BW31" s="238">
        <f t="shared" si="55"/>
        <v>0</v>
      </c>
      <c r="BX31" s="238">
        <f t="shared" si="55"/>
        <v>0</v>
      </c>
      <c r="BY31" s="289" t="e">
        <f t="shared" si="55"/>
        <v>#DIV/0!</v>
      </c>
      <c r="BZ31" s="236">
        <f>SUM(BZ14:BZ29)</f>
        <v>70128.664980000001</v>
      </c>
      <c r="CA31" s="235">
        <f>SUM(CA14:CA29)</f>
        <v>61101.499149999996</v>
      </c>
      <c r="CB31" s="235">
        <f t="shared" si="53"/>
        <v>87.127709000913583</v>
      </c>
      <c r="CC31" s="235">
        <f>SUM(CC14:CC29)</f>
        <v>28718.623999999996</v>
      </c>
      <c r="CD31" s="235">
        <f>SUM(CD14:CD29)</f>
        <v>27181.923999999995</v>
      </c>
      <c r="CE31" s="235">
        <f>CD31/CC31*100</f>
        <v>94.649116893622747</v>
      </c>
      <c r="CF31" s="422">
        <f>SUM(CF14:CF29)</f>
        <v>6756.9520999999995</v>
      </c>
      <c r="CG31" s="235">
        <f>SUM(CG14:CG29)</f>
        <v>4744.6444000000001</v>
      </c>
      <c r="CH31" s="235">
        <f>CG31/CF31*100</f>
        <v>70.218707041004492</v>
      </c>
      <c r="CI31" s="235">
        <f>SUM(CI14:CI29)</f>
        <v>28204.511990000003</v>
      </c>
      <c r="CJ31" s="235">
        <f>SUM(CJ14:CJ29)</f>
        <v>23613.040240000002</v>
      </c>
      <c r="CK31" s="235">
        <f>CJ31/CI31*100</f>
        <v>83.720789951522931</v>
      </c>
      <c r="CL31" s="235">
        <f>SUM(CL14:CL29)</f>
        <v>2124.3000000000002</v>
      </c>
      <c r="CM31" s="235">
        <f>SUM(CM14:CM29)</f>
        <v>2042.49</v>
      </c>
      <c r="CN31" s="235">
        <f t="shared" si="8"/>
        <v>96.148849032622508</v>
      </c>
      <c r="CO31" s="235">
        <f>SUM(CO14:CO29)</f>
        <v>1110.0058899999999</v>
      </c>
      <c r="CP31" s="235">
        <f>SUM(CP14:CP29)</f>
        <v>240</v>
      </c>
      <c r="CQ31" s="235">
        <f>CP31/CO31*100</f>
        <v>21.621506891283254</v>
      </c>
      <c r="CR31" s="235">
        <f>SUM(CR14:CR29)</f>
        <v>3214.2710000000002</v>
      </c>
      <c r="CS31" s="235">
        <f>SUM(CS14:CS29)</f>
        <v>3767.9702999999995</v>
      </c>
      <c r="CT31" s="235">
        <f t="shared" si="9"/>
        <v>117.22627930252301</v>
      </c>
      <c r="CU31" s="235">
        <f>SUM(CU14:CU29)</f>
        <v>0</v>
      </c>
      <c r="CV31" s="235">
        <f>SUM(CV14:CV29)</f>
        <v>-488.56979000000001</v>
      </c>
      <c r="CW31" s="235" t="e">
        <f>CV31/CU31*100</f>
        <v>#DIV/0!</v>
      </c>
      <c r="CX31" s="235">
        <f>SUM(CX14:CX29)</f>
        <v>0</v>
      </c>
      <c r="CY31" s="235">
        <f>SUM(CY14:CY29)</f>
        <v>0</v>
      </c>
      <c r="CZ31" s="238" t="e">
        <f>CY31/CX31*100</f>
        <v>#DIV/0!</v>
      </c>
      <c r="DA31" s="238">
        <f>DA14+DA15+DA16+DA17+DA18+DA19+DA20+DA21+DA22+DA23+DA24+DA25+DA26+DA27+DA28+DA29</f>
        <v>0</v>
      </c>
      <c r="DB31" s="238">
        <f>DB14+DB15+DB16+DB17+DB18+DB19+DB20+DB21+DB22+DB23+DB24+DB25+DB26+DB27+DB28+DB29</f>
        <v>0</v>
      </c>
      <c r="DC31" s="238" t="e">
        <f>DB31/DA31*100</f>
        <v>#DIV/0!</v>
      </c>
      <c r="DD31" s="238">
        <f>DD14+DD15+DD16+DD17+DD18+DD19+DD20+DD21+DD22+DD23+DD24+DD25+DD26+DD27+DD28+DD29</f>
        <v>0</v>
      </c>
      <c r="DE31" s="238">
        <f>DE14+DE15+DE16+DE17+DE18+DE19+DE20+DE21+DE22+DE23+DE24+DE25+DE26+DE27+DE28+DE29</f>
        <v>0</v>
      </c>
      <c r="DF31" s="238">
        <v>0</v>
      </c>
      <c r="DG31" s="236">
        <f>SUM(DG14:DG29)</f>
        <v>113616.78405</v>
      </c>
      <c r="DH31" s="236">
        <f>SUM(DH14:DH29)</f>
        <v>90946.555989999993</v>
      </c>
      <c r="DI31" s="238">
        <f>DH31/DG31*100</f>
        <v>80.046761356998644</v>
      </c>
      <c r="DJ31" s="236">
        <f>SUM(DJ14:DJ29)</f>
        <v>22654.474219999996</v>
      </c>
      <c r="DK31" s="236">
        <f>SUM(DK14:DK29)</f>
        <v>18643.094440000001</v>
      </c>
      <c r="DL31" s="238">
        <f>DK31/DJ31*100</f>
        <v>82.29321174684938</v>
      </c>
      <c r="DM31" s="235">
        <f>SUM(DM14:DM29)</f>
        <v>22196.262719999999</v>
      </c>
      <c r="DN31" s="236">
        <f>SUM(DN14:DN29)</f>
        <v>18287.312979999999</v>
      </c>
      <c r="DO31" s="238">
        <f>DN31/DM31*100</f>
        <v>82.38915357368775</v>
      </c>
      <c r="DP31" s="235">
        <f>SUM(DP14:DP29)</f>
        <v>168.8</v>
      </c>
      <c r="DQ31" s="235">
        <f>SUM(DQ14:DQ29)</f>
        <v>168.8</v>
      </c>
      <c r="DR31" s="238">
        <f>DQ31/DP31*100</f>
        <v>100</v>
      </c>
      <c r="DS31" s="253">
        <f>SUM(DS14:DS29)</f>
        <v>88.01</v>
      </c>
      <c r="DT31" s="238">
        <f>SUM(DT14:DT29)</f>
        <v>0</v>
      </c>
      <c r="DU31" s="238">
        <f>DT31/DS31*100</f>
        <v>0</v>
      </c>
      <c r="DV31" s="361">
        <f>SUM(DV14:DV29)</f>
        <v>201.40149999999997</v>
      </c>
      <c r="DW31" s="238">
        <f>SUM(DW14:DW29)</f>
        <v>186.98146</v>
      </c>
      <c r="DX31" s="184">
        <f>DW31/DV31*100</f>
        <v>92.840152630442191</v>
      </c>
      <c r="DY31" s="238">
        <f>SUM(DY14:DY29)</f>
        <v>2049</v>
      </c>
      <c r="DZ31" s="253">
        <f>SUM(DZ14:DZ29)</f>
        <v>1658.2053200000005</v>
      </c>
      <c r="EA31" s="235">
        <f t="shared" si="47"/>
        <v>80.927541239629107</v>
      </c>
      <c r="EB31" s="253">
        <f>SUM(EB14:EB29)</f>
        <v>379.32665000000003</v>
      </c>
      <c r="EC31" s="253">
        <f>SUM(EC14:EC29)</f>
        <v>284.86938000000004</v>
      </c>
      <c r="ED31" s="184">
        <f t="shared" si="48"/>
        <v>75.098699234551546</v>
      </c>
      <c r="EE31" s="235">
        <f>SUM(EE14:EE29)</f>
        <v>36722.626779999999</v>
      </c>
      <c r="EF31" s="236">
        <f>SUM(EF14:EF29)</f>
        <v>27301.850819999992</v>
      </c>
      <c r="EG31" s="238">
        <f>EF31/EE31*100</f>
        <v>74.346127208060224</v>
      </c>
      <c r="EH31" s="235">
        <f>SUM(EH14:EH29)</f>
        <v>19006.100300000006</v>
      </c>
      <c r="EI31" s="236">
        <f>SUM(EI14:EI29)</f>
        <v>15464.485910000001</v>
      </c>
      <c r="EJ31" s="238">
        <f>EI31/EH31*100</f>
        <v>81.365907081948833</v>
      </c>
      <c r="EK31" s="236">
        <f>SUM(EK14:EK29)</f>
        <v>32607.251099999998</v>
      </c>
      <c r="EL31" s="236">
        <f>SUM(EL14:EL29)</f>
        <v>27446.56612</v>
      </c>
      <c r="EM31" s="238">
        <f>EL31/EK31*100</f>
        <v>84.17319827368091</v>
      </c>
      <c r="EN31" s="236">
        <f>SUM(EN14:EN29)</f>
        <v>10</v>
      </c>
      <c r="EO31" s="236">
        <f>SUM(EO14:EO29)</f>
        <v>10</v>
      </c>
      <c r="EP31" s="238">
        <f>EO31/EN31*100</f>
        <v>100</v>
      </c>
      <c r="EQ31" s="235">
        <f>SUM(EQ14:EQ29)</f>
        <v>188.005</v>
      </c>
      <c r="ER31" s="235">
        <f>SUM(ER14:ER29)</f>
        <v>137.48400000000001</v>
      </c>
      <c r="ES31" s="238">
        <f>ER31/EQ31*100</f>
        <v>73.1278423446185</v>
      </c>
      <c r="ET31" s="238">
        <f>SUM(ET14:ET29)</f>
        <v>0</v>
      </c>
      <c r="EU31" s="288">
        <f>SUM(EU14:EU29)</f>
        <v>0</v>
      </c>
      <c r="EV31" s="184" t="e">
        <f>EU31/ET31*100</f>
        <v>#DIV/0!</v>
      </c>
      <c r="EW31" s="253">
        <f>SUM(EW14:EW29)</f>
        <v>-5262.1164699999972</v>
      </c>
      <c r="EX31" s="238">
        <f>SUM(EX14:EX29)</f>
        <v>3754.1512300000013</v>
      </c>
      <c r="EY31" s="184">
        <f>EX31/EW31*100</f>
        <v>-71.342990057382806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7" hidden="1" customHeight="1">
      <c r="C33" s="209">
        <f>C32-C31</f>
        <v>-22931.898579999994</v>
      </c>
      <c r="D33" s="209">
        <f t="shared" ref="D33:BO33" si="56">D32-D31</f>
        <v>-87728.834619999994</v>
      </c>
      <c r="E33" s="209"/>
      <c r="F33" s="209">
        <f t="shared" si="56"/>
        <v>-8512.0025999999925</v>
      </c>
      <c r="G33" s="209">
        <f t="shared" si="56"/>
        <v>-31458.106469999999</v>
      </c>
      <c r="H33" s="209"/>
      <c r="I33" s="209">
        <f t="shared" si="56"/>
        <v>-1178.9000000000005</v>
      </c>
      <c r="J33" s="209">
        <f t="shared" si="56"/>
        <v>-4055.0793600000002</v>
      </c>
      <c r="K33" s="209"/>
      <c r="L33" s="209">
        <f t="shared" si="56"/>
        <v>-363.44000000000005</v>
      </c>
      <c r="M33" s="209">
        <f t="shared" si="56"/>
        <v>-3192.5321700000004</v>
      </c>
      <c r="N33" s="209"/>
      <c r="O33" s="209">
        <f t="shared" si="56"/>
        <v>39.82</v>
      </c>
      <c r="P33" s="209">
        <f t="shared" si="56"/>
        <v>-27.323920000000001</v>
      </c>
      <c r="Q33" s="209"/>
      <c r="R33" s="209">
        <f t="shared" si="56"/>
        <v>194.17329999999947</v>
      </c>
      <c r="S33" s="209">
        <f t="shared" si="56"/>
        <v>-4636.07906</v>
      </c>
      <c r="T33" s="209"/>
      <c r="U33" s="209">
        <f t="shared" si="56"/>
        <v>0</v>
      </c>
      <c r="V33" s="209">
        <f t="shared" si="56"/>
        <v>716.30433000000005</v>
      </c>
      <c r="W33" s="209" t="e">
        <f t="shared" si="56"/>
        <v>#DIV/0!</v>
      </c>
      <c r="X33" s="209">
        <f t="shared" si="56"/>
        <v>-20</v>
      </c>
      <c r="Y33" s="209">
        <f t="shared" si="56"/>
        <v>-374.65730999999994</v>
      </c>
      <c r="Z33" s="209"/>
      <c r="AA33" s="209">
        <f t="shared" si="56"/>
        <v>-1469.4</v>
      </c>
      <c r="AB33" s="209">
        <f t="shared" si="56"/>
        <v>-3065.6110199999998</v>
      </c>
      <c r="AC33" s="209"/>
      <c r="AD33" s="209">
        <f t="shared" si="56"/>
        <v>-3635.2000000000007</v>
      </c>
      <c r="AE33" s="209">
        <f t="shared" si="56"/>
        <v>-14227.185730000001</v>
      </c>
      <c r="AF33" s="209"/>
      <c r="AG33" s="209">
        <f t="shared" si="56"/>
        <v>101.99799999999999</v>
      </c>
      <c r="AH33" s="209">
        <f t="shared" si="56"/>
        <v>-100.85321000000003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-1171.3</v>
      </c>
      <c r="AQ33" s="209">
        <f t="shared" si="56"/>
        <v>-712.20179000000007</v>
      </c>
      <c r="AR33" s="209"/>
      <c r="AS33" s="209">
        <f t="shared" si="56"/>
        <v>-34.800000000000011</v>
      </c>
      <c r="AT33" s="209">
        <f t="shared" si="56"/>
        <v>-159.58022000000005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-765</v>
      </c>
      <c r="AZ33" s="209">
        <f t="shared" si="56"/>
        <v>-819.78510999999992</v>
      </c>
      <c r="BA33" s="209"/>
      <c r="BB33" s="209">
        <f t="shared" si="56"/>
        <v>0</v>
      </c>
      <c r="BC33" s="209">
        <f t="shared" si="56"/>
        <v>0</v>
      </c>
      <c r="BD33" s="209" t="e">
        <f t="shared" si="56"/>
        <v>#DIV/0!</v>
      </c>
      <c r="BE33" s="209">
        <f t="shared" si="56"/>
        <v>-206</v>
      </c>
      <c r="BF33" s="209">
        <f t="shared" si="56"/>
        <v>-610.01600000000008</v>
      </c>
      <c r="BG33" s="209">
        <f t="shared" si="56"/>
        <v>-104.09829351535838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-3.9539</v>
      </c>
      <c r="BO33" s="209">
        <f t="shared" si="56"/>
        <v>-18.133070000000004</v>
      </c>
      <c r="BP33" s="209"/>
      <c r="BQ33" s="209">
        <f t="shared" ref="BQ33:DZ33" si="57">BQ32-BQ31</f>
        <v>0</v>
      </c>
      <c r="BR33" s="209">
        <f t="shared" si="57"/>
        <v>90.543340000000015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-14419.895980000001</v>
      </c>
      <c r="CA33" s="209">
        <f t="shared" si="57"/>
        <v>-56270.728149999995</v>
      </c>
      <c r="CB33" s="209"/>
      <c r="CC33" s="209">
        <f t="shared" si="57"/>
        <v>-2525.2239999999947</v>
      </c>
      <c r="CD33" s="209">
        <f t="shared" si="57"/>
        <v>-22816.340999999997</v>
      </c>
      <c r="CE33" s="209"/>
      <c r="CF33" s="209">
        <f t="shared" si="57"/>
        <v>-3956.9520999999995</v>
      </c>
      <c r="CG33" s="209">
        <f t="shared" si="57"/>
        <v>-4744.6444000000001</v>
      </c>
      <c r="CH33" s="209"/>
      <c r="CI33" s="209">
        <f t="shared" si="57"/>
        <v>-7216.222990000002</v>
      </c>
      <c r="CJ33" s="209">
        <f t="shared" si="57"/>
        <v>-23386.252240000002</v>
      </c>
      <c r="CK33" s="209"/>
      <c r="CL33" s="209">
        <f t="shared" si="57"/>
        <v>3602.7799999999997</v>
      </c>
      <c r="CM33" s="209">
        <f t="shared" si="57"/>
        <v>-1804.09</v>
      </c>
      <c r="CN33" s="209"/>
      <c r="CO33" s="209">
        <f t="shared" si="57"/>
        <v>-1110.0058899999999</v>
      </c>
      <c r="CP33" s="209">
        <f t="shared" si="57"/>
        <v>-240</v>
      </c>
      <c r="CQ33" s="209"/>
      <c r="CR33" s="209">
        <f t="shared" si="57"/>
        <v>-3214.2710000000002</v>
      </c>
      <c r="CS33" s="209">
        <f t="shared" si="57"/>
        <v>-3767.9702999999995</v>
      </c>
      <c r="CT33" s="209"/>
      <c r="CU33" s="209">
        <f t="shared" si="57"/>
        <v>0</v>
      </c>
      <c r="CV33" s="209">
        <f t="shared" si="57"/>
        <v>488.56979000000001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-27149.165049999996</v>
      </c>
      <c r="DH33" s="209">
        <f t="shared" si="57"/>
        <v>-82902.242029999994</v>
      </c>
      <c r="DI33" s="209"/>
      <c r="DJ33" s="209">
        <f t="shared" si="57"/>
        <v>-3995.1882199999964</v>
      </c>
      <c r="DK33" s="209">
        <f t="shared" si="57"/>
        <v>-16649.44023</v>
      </c>
      <c r="DL33" s="209"/>
      <c r="DM33" s="209">
        <f t="shared" si="57"/>
        <v>-3616.9767199999987</v>
      </c>
      <c r="DN33" s="209">
        <f t="shared" si="57"/>
        <v>-16293.658769999998</v>
      </c>
      <c r="DO33" s="209"/>
      <c r="DP33" s="209">
        <f t="shared" si="57"/>
        <v>-168.8</v>
      </c>
      <c r="DQ33" s="209">
        <f t="shared" si="57"/>
        <v>-168.8</v>
      </c>
      <c r="DR33" s="209">
        <f t="shared" si="57"/>
        <v>-100</v>
      </c>
      <c r="DS33" s="209">
        <f t="shared" si="57"/>
        <v>-8.0100000000000051</v>
      </c>
      <c r="DT33" s="209">
        <f t="shared" si="57"/>
        <v>0</v>
      </c>
      <c r="DU33" s="209">
        <f t="shared" si="57"/>
        <v>0</v>
      </c>
      <c r="DV33" s="209">
        <f t="shared" si="57"/>
        <v>-201.40149999999997</v>
      </c>
      <c r="DW33" s="209">
        <f t="shared" si="57"/>
        <v>-186.98146</v>
      </c>
      <c r="DX33" s="209"/>
      <c r="DY33" s="209">
        <f t="shared" si="57"/>
        <v>-366.5</v>
      </c>
      <c r="DZ33" s="209">
        <f t="shared" si="57"/>
        <v>-1516.6687200000006</v>
      </c>
      <c r="EA33" s="209"/>
      <c r="EB33" s="209">
        <f t="shared" ref="EB33:EX33" si="58">EB32-EB31</f>
        <v>-188.02665000000002</v>
      </c>
      <c r="EC33" s="209">
        <f t="shared" si="58"/>
        <v>-276.36938000000004</v>
      </c>
      <c r="ED33" s="209"/>
      <c r="EE33" s="209">
        <f t="shared" si="58"/>
        <v>-7334.2377799999995</v>
      </c>
      <c r="EF33" s="209">
        <f t="shared" si="58"/>
        <v>-26224.137449999991</v>
      </c>
      <c r="EG33" s="209"/>
      <c r="EH33" s="209">
        <f t="shared" si="58"/>
        <v>-3601.2883000000056</v>
      </c>
      <c r="EI33" s="209">
        <f t="shared" si="58"/>
        <v>-14135.545660000002</v>
      </c>
      <c r="EJ33" s="209"/>
      <c r="EK33" s="209">
        <f t="shared" si="58"/>
        <v>-8478.5510999999969</v>
      </c>
      <c r="EL33" s="209">
        <f t="shared" si="58"/>
        <v>-23957.39559</v>
      </c>
      <c r="EM33" s="209"/>
      <c r="EN33" s="209">
        <f t="shared" si="58"/>
        <v>-10</v>
      </c>
      <c r="EO33" s="209">
        <f t="shared" si="58"/>
        <v>-10</v>
      </c>
      <c r="EP33" s="209"/>
      <c r="EQ33" s="209">
        <f t="shared" si="58"/>
        <v>-76.004999999999995</v>
      </c>
      <c r="ER33" s="209">
        <f t="shared" si="58"/>
        <v>-132.684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5262.1164699999972</v>
      </c>
      <c r="EX33" s="209">
        <f t="shared" si="58"/>
        <v>-3754.1512300000013</v>
      </c>
      <c r="EY33" s="209"/>
    </row>
    <row r="34" spans="3:155" ht="21.75" customHeight="1">
      <c r="C34" s="153">
        <v>108354.66757999999</v>
      </c>
      <c r="D34" s="223">
        <v>94720.575219999999</v>
      </c>
      <c r="F34" s="153">
        <v>38226.0026</v>
      </c>
      <c r="G34" s="153">
        <v>33599.208070000001</v>
      </c>
      <c r="I34" s="212">
        <v>5201.8999999999996</v>
      </c>
      <c r="J34" s="211">
        <v>4572.91255</v>
      </c>
      <c r="L34" s="153">
        <v>3011.74</v>
      </c>
      <c r="M34" s="153">
        <v>3467.8121099999998</v>
      </c>
      <c r="O34" s="153">
        <v>32.24</v>
      </c>
      <c r="P34" s="153">
        <v>32.915860000000002</v>
      </c>
      <c r="R34" s="153">
        <v>5091.2667000000001</v>
      </c>
      <c r="S34" s="153">
        <v>5073.7234900000003</v>
      </c>
      <c r="U34" s="153">
        <v>0</v>
      </c>
      <c r="V34" s="153">
        <v>-773.67084</v>
      </c>
      <c r="X34" s="153">
        <v>470</v>
      </c>
      <c r="Y34" s="209">
        <v>425.22944000000001</v>
      </c>
      <c r="AA34" s="153">
        <v>3021.4</v>
      </c>
      <c r="AB34" s="153">
        <v>3099.5407799999998</v>
      </c>
      <c r="AD34" s="153">
        <v>17949.2</v>
      </c>
      <c r="AE34" s="153">
        <v>14992.45307</v>
      </c>
      <c r="AG34" s="153">
        <v>162.00200000000001</v>
      </c>
      <c r="AH34" s="153">
        <v>129.30321000000001</v>
      </c>
      <c r="AK34" s="153">
        <v>0</v>
      </c>
      <c r="AN34" s="209"/>
      <c r="AP34" s="153">
        <v>1571.3</v>
      </c>
      <c r="AQ34" s="153">
        <v>814.20178999999996</v>
      </c>
      <c r="AS34" s="153">
        <v>360</v>
      </c>
      <c r="AT34" s="153">
        <v>373.58022</v>
      </c>
      <c r="AY34" s="153">
        <v>765</v>
      </c>
      <c r="AZ34" s="153">
        <v>819.78511000000003</v>
      </c>
      <c r="BE34" s="153">
        <v>586</v>
      </c>
      <c r="BF34" s="153">
        <v>610.01599999999996</v>
      </c>
      <c r="BN34" s="153">
        <v>3.9539</v>
      </c>
      <c r="BO34" s="153">
        <v>38.133069999999996</v>
      </c>
      <c r="BR34" s="210">
        <v>-76.727789999999999</v>
      </c>
      <c r="BZ34" s="153">
        <v>70128.664980000001</v>
      </c>
      <c r="CA34" s="153">
        <v>61121.367149999998</v>
      </c>
      <c r="CC34" s="153">
        <v>28718.624</v>
      </c>
      <c r="CD34" s="153">
        <v>27181.923999999999</v>
      </c>
      <c r="CF34" s="153">
        <v>6756.9521000000004</v>
      </c>
      <c r="CG34" s="153">
        <v>4744.6444000000001</v>
      </c>
      <c r="CI34" s="210">
        <v>28204.511989999999</v>
      </c>
      <c r="CJ34" s="153">
        <v>23613.040239999998</v>
      </c>
      <c r="CL34" s="153">
        <v>2124.3000000000002</v>
      </c>
      <c r="CM34" s="153">
        <v>2062.3580000000002</v>
      </c>
      <c r="CO34" s="153">
        <v>1110.0058899999999</v>
      </c>
      <c r="CP34" s="153">
        <v>240</v>
      </c>
      <c r="CR34" s="153">
        <v>3214.2710000000002</v>
      </c>
      <c r="CS34" s="153">
        <v>3767.9703</v>
      </c>
      <c r="CU34" s="153">
        <v>0</v>
      </c>
      <c r="CV34" s="153">
        <v>-488.56979000000001</v>
      </c>
      <c r="DG34" s="212">
        <v>113616.78405</v>
      </c>
      <c r="DH34" s="212">
        <v>90946.555989999993</v>
      </c>
      <c r="DI34" s="212"/>
      <c r="DJ34" s="212">
        <v>22309.701499999999</v>
      </c>
      <c r="DK34" s="212">
        <v>16809.507310000001</v>
      </c>
      <c r="DL34" s="212"/>
      <c r="DM34" s="212">
        <v>21854.038</v>
      </c>
      <c r="DN34" s="212">
        <v>16480.065849999999</v>
      </c>
      <c r="DO34" s="212"/>
      <c r="DP34" s="212">
        <v>168.8</v>
      </c>
      <c r="DQ34" s="212">
        <v>168.8</v>
      </c>
      <c r="DR34" s="212"/>
      <c r="DS34" s="212">
        <v>106.01</v>
      </c>
      <c r="DT34" s="212">
        <v>0</v>
      </c>
      <c r="DU34" s="212"/>
      <c r="DV34" s="212">
        <v>180.8535</v>
      </c>
      <c r="DW34" s="212">
        <v>160.64146</v>
      </c>
      <c r="DX34" s="212"/>
      <c r="DY34" s="212">
        <v>2049</v>
      </c>
      <c r="DZ34" s="212">
        <v>1658.20532</v>
      </c>
      <c r="EA34" s="212"/>
      <c r="EB34" s="212">
        <v>409.02954999999997</v>
      </c>
      <c r="EC34" s="212">
        <v>204.62737999999999</v>
      </c>
      <c r="ED34" s="212"/>
      <c r="EE34" s="212">
        <v>35927.201840000002</v>
      </c>
      <c r="EF34" s="212">
        <v>22188.484380000002</v>
      </c>
      <c r="EG34" s="212"/>
      <c r="EH34" s="212">
        <v>19072.97581</v>
      </c>
      <c r="EI34" s="212">
        <v>14099.127399999999</v>
      </c>
      <c r="EJ34" s="212"/>
      <c r="EK34" s="212">
        <v>32471.449100000002</v>
      </c>
      <c r="EL34" s="212">
        <v>20702.054400000001</v>
      </c>
      <c r="EM34" s="212"/>
      <c r="EN34" s="212">
        <v>10</v>
      </c>
      <c r="EO34" s="212">
        <v>10</v>
      </c>
      <c r="EP34" s="212"/>
      <c r="EQ34" s="212">
        <v>216.44200000000001</v>
      </c>
      <c r="ER34" s="212">
        <v>122.99</v>
      </c>
      <c r="ES34" s="212"/>
      <c r="ET34" s="212">
        <v>0</v>
      </c>
      <c r="EU34" s="212">
        <v>0</v>
      </c>
      <c r="EV34" s="212"/>
      <c r="EW34" s="153">
        <v>-5762.1164699999999</v>
      </c>
      <c r="EX34" s="153">
        <v>5658.7446900000004</v>
      </c>
    </row>
    <row r="35" spans="3:155" s="220" customFormat="1" ht="27.75" customHeight="1">
      <c r="C35" s="209">
        <f>C34-C31</f>
        <v>0</v>
      </c>
      <c r="D35" s="209">
        <f>D34-D31</f>
        <v>19.868000000002212</v>
      </c>
      <c r="E35" s="209"/>
      <c r="F35" s="209">
        <f t="shared" ref="F35:BO35" si="59">F34-F31</f>
        <v>0</v>
      </c>
      <c r="G35" s="209">
        <f>G34-G31</f>
        <v>0</v>
      </c>
      <c r="H35" s="209"/>
      <c r="I35" s="209">
        <f t="shared" si="59"/>
        <v>0</v>
      </c>
      <c r="J35" s="209">
        <f>J34-J31</f>
        <v>0</v>
      </c>
      <c r="K35" s="209"/>
      <c r="L35" s="209">
        <f t="shared" si="59"/>
        <v>0</v>
      </c>
      <c r="M35" s="209">
        <f t="shared" si="59"/>
        <v>0</v>
      </c>
      <c r="N35" s="209"/>
      <c r="O35" s="209">
        <f t="shared" si="59"/>
        <v>0</v>
      </c>
      <c r="P35" s="209">
        <f t="shared" si="59"/>
        <v>0</v>
      </c>
      <c r="Q35" s="209"/>
      <c r="R35" s="209">
        <f t="shared" si="59"/>
        <v>0</v>
      </c>
      <c r="S35" s="209">
        <f t="shared" si="59"/>
        <v>0</v>
      </c>
      <c r="T35" s="209"/>
      <c r="U35" s="209">
        <f t="shared" si="59"/>
        <v>0</v>
      </c>
      <c r="V35" s="209">
        <f t="shared" si="59"/>
        <v>0</v>
      </c>
      <c r="W35" s="209"/>
      <c r="X35" s="209">
        <f t="shared" si="59"/>
        <v>0</v>
      </c>
      <c r="Y35" s="209">
        <f t="shared" si="59"/>
        <v>0</v>
      </c>
      <c r="Z35" s="209"/>
      <c r="AA35" s="209">
        <f t="shared" si="59"/>
        <v>0</v>
      </c>
      <c r="AB35" s="209">
        <f t="shared" si="59"/>
        <v>0</v>
      </c>
      <c r="AC35" s="209"/>
      <c r="AD35" s="209">
        <f t="shared" si="59"/>
        <v>0</v>
      </c>
      <c r="AE35" s="209">
        <f t="shared" si="59"/>
        <v>0</v>
      </c>
      <c r="AF35" s="209"/>
      <c r="AG35" s="209">
        <f t="shared" si="59"/>
        <v>0</v>
      </c>
      <c r="AH35" s="209">
        <f t="shared" si="59"/>
        <v>0</v>
      </c>
      <c r="AI35" s="209"/>
      <c r="AJ35" s="209">
        <f t="shared" si="59"/>
        <v>0</v>
      </c>
      <c r="AK35" s="209">
        <f t="shared" si="59"/>
        <v>0</v>
      </c>
      <c r="AL35" s="209"/>
      <c r="AM35" s="209">
        <f t="shared" si="59"/>
        <v>0</v>
      </c>
      <c r="AN35" s="209">
        <f t="shared" si="59"/>
        <v>0</v>
      </c>
      <c r="AO35" s="209"/>
      <c r="AP35" s="209">
        <f t="shared" si="59"/>
        <v>0</v>
      </c>
      <c r="AQ35" s="209">
        <f t="shared" si="59"/>
        <v>0</v>
      </c>
      <c r="AR35" s="209"/>
      <c r="AS35" s="209">
        <f t="shared" si="59"/>
        <v>0</v>
      </c>
      <c r="AT35" s="209">
        <f t="shared" si="59"/>
        <v>0</v>
      </c>
      <c r="AU35" s="209"/>
      <c r="AV35" s="209">
        <f t="shared" si="59"/>
        <v>0</v>
      </c>
      <c r="AW35" s="209">
        <f t="shared" si="59"/>
        <v>0</v>
      </c>
      <c r="AX35" s="209" t="e">
        <f t="shared" si="59"/>
        <v>#DIV/0!</v>
      </c>
      <c r="AY35" s="209">
        <f t="shared" si="59"/>
        <v>0</v>
      </c>
      <c r="AZ35" s="209">
        <f t="shared" si="59"/>
        <v>0</v>
      </c>
      <c r="BA35" s="209"/>
      <c r="BB35" s="209">
        <f t="shared" si="59"/>
        <v>0</v>
      </c>
      <c r="BC35" s="209">
        <f t="shared" si="59"/>
        <v>0</v>
      </c>
      <c r="BD35" s="209" t="e">
        <f t="shared" si="59"/>
        <v>#DIV/0!</v>
      </c>
      <c r="BE35" s="209">
        <f>BE34-BE31</f>
        <v>0</v>
      </c>
      <c r="BF35" s="209">
        <f t="shared" si="59"/>
        <v>0</v>
      </c>
      <c r="BG35" s="209"/>
      <c r="BH35" s="209">
        <f t="shared" si="59"/>
        <v>0</v>
      </c>
      <c r="BI35" s="209">
        <f t="shared" si="59"/>
        <v>0</v>
      </c>
      <c r="BJ35" s="209" t="e">
        <f t="shared" si="59"/>
        <v>#DIV/0!</v>
      </c>
      <c r="BK35" s="209">
        <f t="shared" si="59"/>
        <v>0</v>
      </c>
      <c r="BL35" s="209">
        <f t="shared" si="59"/>
        <v>0</v>
      </c>
      <c r="BM35" s="209" t="e">
        <f t="shared" si="59"/>
        <v>#DIV/0!</v>
      </c>
      <c r="BN35" s="209">
        <f t="shared" si="59"/>
        <v>0</v>
      </c>
      <c r="BO35" s="209">
        <f t="shared" si="59"/>
        <v>0</v>
      </c>
      <c r="BP35" s="209"/>
      <c r="BQ35" s="209">
        <f t="shared" ref="BQ35:DZ35" si="60">BQ34-BQ31</f>
        <v>0</v>
      </c>
      <c r="BR35" s="209">
        <f t="shared" si="60"/>
        <v>0</v>
      </c>
      <c r="BS35" s="209"/>
      <c r="BT35" s="209">
        <f t="shared" si="60"/>
        <v>0</v>
      </c>
      <c r="BU35" s="209">
        <f t="shared" si="60"/>
        <v>0</v>
      </c>
      <c r="BV35" s="209" t="e">
        <f t="shared" si="60"/>
        <v>#DIV/0!</v>
      </c>
      <c r="BW35" s="209">
        <f t="shared" si="60"/>
        <v>0</v>
      </c>
      <c r="BX35" s="209">
        <f t="shared" si="60"/>
        <v>0</v>
      </c>
      <c r="BY35" s="209" t="e">
        <f t="shared" si="60"/>
        <v>#DIV/0!</v>
      </c>
      <c r="BZ35" s="209">
        <f t="shared" si="60"/>
        <v>0</v>
      </c>
      <c r="CA35" s="209">
        <f t="shared" si="60"/>
        <v>19.868000000002212</v>
      </c>
      <c r="CB35" s="209"/>
      <c r="CC35" s="209">
        <f>CC34-CC31</f>
        <v>0</v>
      </c>
      <c r="CD35" s="209">
        <f t="shared" si="60"/>
        <v>0</v>
      </c>
      <c r="CE35" s="209"/>
      <c r="CF35" s="209">
        <f t="shared" si="60"/>
        <v>0</v>
      </c>
      <c r="CG35" s="209">
        <f t="shared" si="60"/>
        <v>0</v>
      </c>
      <c r="CH35" s="209">
        <f t="shared" si="60"/>
        <v>-70.218707041004492</v>
      </c>
      <c r="CI35" s="209">
        <f t="shared" si="60"/>
        <v>0</v>
      </c>
      <c r="CJ35" s="209">
        <f t="shared" si="60"/>
        <v>0</v>
      </c>
      <c r="CK35" s="209"/>
      <c r="CL35" s="209">
        <f t="shared" si="60"/>
        <v>0</v>
      </c>
      <c r="CM35" s="209">
        <f t="shared" si="60"/>
        <v>19.868000000000166</v>
      </c>
      <c r="CN35" s="209"/>
      <c r="CO35" s="209">
        <f t="shared" si="60"/>
        <v>0</v>
      </c>
      <c r="CP35" s="209">
        <f t="shared" si="60"/>
        <v>0</v>
      </c>
      <c r="CQ35" s="209"/>
      <c r="CR35" s="209">
        <f t="shared" si="60"/>
        <v>0</v>
      </c>
      <c r="CS35" s="209">
        <f t="shared" si="60"/>
        <v>0</v>
      </c>
      <c r="CT35" s="209"/>
      <c r="CU35" s="209">
        <f t="shared" si="60"/>
        <v>0</v>
      </c>
      <c r="CV35" s="209">
        <f>-(CV34-CV31)</f>
        <v>0</v>
      </c>
      <c r="CW35" s="209"/>
      <c r="CX35" s="209">
        <f t="shared" si="60"/>
        <v>0</v>
      </c>
      <c r="CY35" s="209">
        <f t="shared" si="60"/>
        <v>0</v>
      </c>
      <c r="CZ35" s="209" t="e">
        <f t="shared" si="60"/>
        <v>#DIV/0!</v>
      </c>
      <c r="DA35" s="209">
        <f t="shared" si="60"/>
        <v>0</v>
      </c>
      <c r="DB35" s="209">
        <f t="shared" si="60"/>
        <v>0</v>
      </c>
      <c r="DC35" s="209" t="e">
        <f t="shared" si="60"/>
        <v>#DIV/0!</v>
      </c>
      <c r="DD35" s="209">
        <f t="shared" si="60"/>
        <v>0</v>
      </c>
      <c r="DE35" s="209">
        <f t="shared" si="60"/>
        <v>0</v>
      </c>
      <c r="DF35" s="209"/>
      <c r="DG35" s="209">
        <f t="shared" si="60"/>
        <v>0</v>
      </c>
      <c r="DH35" s="209">
        <f t="shared" si="60"/>
        <v>0</v>
      </c>
      <c r="DI35" s="209"/>
      <c r="DJ35" s="209">
        <f t="shared" si="60"/>
        <v>-344.77271999999721</v>
      </c>
      <c r="DK35" s="209">
        <f t="shared" si="60"/>
        <v>-1833.5871299999999</v>
      </c>
      <c r="DL35" s="209"/>
      <c r="DM35" s="209">
        <f>DM34-DM31</f>
        <v>-342.22471999999834</v>
      </c>
      <c r="DN35" s="209">
        <f>DN34-DN31</f>
        <v>-1807.2471299999997</v>
      </c>
      <c r="DO35" s="209"/>
      <c r="DP35" s="209">
        <f t="shared" si="60"/>
        <v>0</v>
      </c>
      <c r="DQ35" s="209">
        <f t="shared" si="60"/>
        <v>0</v>
      </c>
      <c r="DR35" s="209"/>
      <c r="DS35" s="209">
        <f t="shared" si="60"/>
        <v>18</v>
      </c>
      <c r="DT35" s="209">
        <f t="shared" si="60"/>
        <v>0</v>
      </c>
      <c r="DU35" s="209"/>
      <c r="DV35" s="209">
        <f t="shared" si="60"/>
        <v>-20.547999999999973</v>
      </c>
      <c r="DW35" s="209">
        <f t="shared" si="60"/>
        <v>-26.340000000000003</v>
      </c>
      <c r="DX35" s="209"/>
      <c r="DY35" s="209">
        <f t="shared" si="60"/>
        <v>0</v>
      </c>
      <c r="DZ35" s="209">
        <f t="shared" si="60"/>
        <v>0</v>
      </c>
      <c r="EA35" s="209"/>
      <c r="EB35" s="209">
        <f>EB34-EB31</f>
        <v>29.702899999999943</v>
      </c>
      <c r="EC35" s="209">
        <f>EC34-EC31</f>
        <v>-80.242000000000047</v>
      </c>
      <c r="ED35" s="209"/>
      <c r="EE35" s="209">
        <f>EE34-EE31</f>
        <v>-795.42493999999715</v>
      </c>
      <c r="EF35" s="209">
        <f>EF34-EF31</f>
        <v>-5113.3664399999907</v>
      </c>
      <c r="EG35" s="209"/>
      <c r="EH35" s="209">
        <f>EH34-EH31</f>
        <v>66.875509999994392</v>
      </c>
      <c r="EI35" s="209">
        <f>EI34-EI31</f>
        <v>-1365.3585100000018</v>
      </c>
      <c r="EJ35" s="209"/>
      <c r="EK35" s="209">
        <f t="shared" ref="EK35:EX35" si="61">EK34-EK31</f>
        <v>-135.80199999999604</v>
      </c>
      <c r="EL35" s="209">
        <f t="shared" si="61"/>
        <v>-6744.5117199999986</v>
      </c>
      <c r="EM35" s="209"/>
      <c r="EN35" s="209">
        <f t="shared" si="61"/>
        <v>0</v>
      </c>
      <c r="EO35" s="209">
        <f t="shared" si="61"/>
        <v>0</v>
      </c>
      <c r="EP35" s="209"/>
      <c r="EQ35" s="209">
        <f>EQ34-EQ31</f>
        <v>28.437000000000012</v>
      </c>
      <c r="ER35" s="209">
        <f t="shared" si="61"/>
        <v>-14.494000000000014</v>
      </c>
      <c r="ES35" s="209"/>
      <c r="ET35" s="209">
        <f t="shared" si="61"/>
        <v>0</v>
      </c>
      <c r="EU35" s="209">
        <f t="shared" si="61"/>
        <v>0</v>
      </c>
      <c r="EV35" s="209"/>
      <c r="EW35" s="209">
        <f t="shared" si="61"/>
        <v>-500.00000000000273</v>
      </c>
      <c r="EX35" s="209">
        <f t="shared" si="61"/>
        <v>1904.5934599999991</v>
      </c>
    </row>
    <row r="36" spans="3:155"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21"/>
    </row>
  </sheetData>
  <customSheetViews>
    <customSheetView guid="{AEB392BF-DA26-444D-A19F-E51C57137A4D}" scale="75" showPageBreaks="1" printArea="1" hiddenRows="1" hiddenColumns="1" view="pageBreakPreview" topLeftCell="A10">
      <pane xSplit="2" ySplit="4" topLeftCell="C14" activePane="bottomRight" state="frozen"/>
      <selection pane="bottomRight" activeCell="I9" sqref="I9:K11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5BFCA170-DEAE-4D2C-98A0-1E68B427AC01}" scale="75" showPageBreaks="1" printArea="1" hiddenRows="1" hiddenColumns="1" view="pageBreakPreview" topLeftCell="A10">
      <pane xSplit="2" ySplit="4" topLeftCell="C14" activePane="bottomRight" state="frozen"/>
      <selection pane="bottomRight" activeCell="I9" sqref="I9:K11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5" fitToWidth="0" fitToHeight="0" orientation="landscape" r:id="rId8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AEB392BF-DA26-444D-A19F-E51C57137A4D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</customSheetViews>
  <pageMargins left="0.7" right="0.7" top="0.75" bottom="0.75" header="0.3" footer="0.3"/>
  <pageSetup paperSize="9" orientation="portrait" verticalDpi="0" r:id="rId6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AEB392BF-DA26-444D-A19F-E51C57137A4D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6"/>
  <sheetViews>
    <sheetView view="pageBreakPreview" topLeftCell="A34" zoomScale="67" workbookViewId="0">
      <selection activeCell="F121" sqref="F121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13" t="s">
        <v>0</v>
      </c>
      <c r="B1" s="513"/>
      <c r="C1" s="513"/>
      <c r="D1" s="513"/>
      <c r="E1" s="513"/>
      <c r="F1" s="513"/>
    </row>
    <row r="2" spans="1:6">
      <c r="A2" s="513" t="s">
        <v>418</v>
      </c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103" t="s">
        <v>417</v>
      </c>
      <c r="E3" s="72" t="s">
        <v>3</v>
      </c>
      <c r="F3" s="74" t="s">
        <v>4</v>
      </c>
    </row>
    <row r="4" spans="1:6" s="6" customFormat="1" ht="22.5">
      <c r="A4" s="3"/>
      <c r="B4" s="255" t="s">
        <v>5</v>
      </c>
      <c r="C4" s="294">
        <f>C5+C12+C16+C21+C23+C27+C7</f>
        <v>126604</v>
      </c>
      <c r="D4" s="294">
        <f>D5+D12+D16+D21+D23+D27+D7</f>
        <v>113913.93468999999</v>
      </c>
      <c r="E4" s="294">
        <f>SUM(D4/C4*100)</f>
        <v>89.976568425958106</v>
      </c>
      <c r="F4" s="294">
        <f>SUM(D4-C4)</f>
        <v>-12690.065310000005</v>
      </c>
    </row>
    <row r="5" spans="1:6" s="6" customFormat="1" ht="22.5">
      <c r="A5" s="68">
        <v>1010000000</v>
      </c>
      <c r="B5" s="255" t="s">
        <v>6</v>
      </c>
      <c r="C5" s="294">
        <f>C6</f>
        <v>105620</v>
      </c>
      <c r="D5" s="446">
        <f>D6</f>
        <v>93872.734689999997</v>
      </c>
      <c r="E5" s="294">
        <f t="shared" ref="E5:E82" si="0">SUM(D5/C5*100)</f>
        <v>88.877802206021585</v>
      </c>
      <c r="F5" s="294">
        <f t="shared" ref="F5:F82" si="1">SUM(D5-C5)</f>
        <v>-11747.265310000003</v>
      </c>
    </row>
    <row r="6" spans="1:6" ht="23.25">
      <c r="A6" s="7">
        <v>1010200001</v>
      </c>
      <c r="B6" s="256" t="s">
        <v>229</v>
      </c>
      <c r="C6" s="295">
        <v>105620</v>
      </c>
      <c r="D6" s="362">
        <v>93872.734689999997</v>
      </c>
      <c r="E6" s="295">
        <f t="shared" ref="E6:E11" si="2">SUM(D6/C6*100)</f>
        <v>88.877802206021585</v>
      </c>
      <c r="F6" s="295">
        <f t="shared" si="1"/>
        <v>-11747.265310000003</v>
      </c>
    </row>
    <row r="7" spans="1:6" ht="37.5">
      <c r="A7" s="68">
        <v>1030000000</v>
      </c>
      <c r="B7" s="257" t="s">
        <v>281</v>
      </c>
      <c r="C7" s="294">
        <f>C8+C10+C9</f>
        <v>4417.8600000000006</v>
      </c>
      <c r="D7" s="446">
        <f>D8+D10+D9+D11</f>
        <v>4229.0401199999997</v>
      </c>
      <c r="E7" s="295">
        <f t="shared" si="2"/>
        <v>95.725987695400022</v>
      </c>
      <c r="F7" s="295">
        <f t="shared" si="1"/>
        <v>-188.81988000000092</v>
      </c>
    </row>
    <row r="8" spans="1:6" ht="23.25">
      <c r="A8" s="7">
        <v>1030223001</v>
      </c>
      <c r="B8" s="256" t="s">
        <v>283</v>
      </c>
      <c r="C8" s="295">
        <v>1460.394</v>
      </c>
      <c r="D8" s="362">
        <v>1880.0063399999999</v>
      </c>
      <c r="E8" s="295">
        <f t="shared" si="2"/>
        <v>128.73281730820588</v>
      </c>
      <c r="F8" s="295">
        <f>SUM(D8-C8)</f>
        <v>419.6123399999999</v>
      </c>
    </row>
    <row r="9" spans="1:6" ht="23.25">
      <c r="A9" s="7">
        <v>1030224001</v>
      </c>
      <c r="B9" s="256" t="s">
        <v>289</v>
      </c>
      <c r="C9" s="295">
        <v>25.545999999999999</v>
      </c>
      <c r="D9" s="362">
        <v>17.844760000000001</v>
      </c>
      <c r="E9" s="295">
        <f t="shared" si="2"/>
        <v>69.853440851796762</v>
      </c>
      <c r="F9" s="295">
        <f>SUM(D9-C9)</f>
        <v>-7.7012399999999985</v>
      </c>
    </row>
    <row r="10" spans="1:6" ht="23.25">
      <c r="A10" s="7">
        <v>1030225001</v>
      </c>
      <c r="B10" s="256" t="s">
        <v>282</v>
      </c>
      <c r="C10" s="295">
        <v>2931.92</v>
      </c>
      <c r="D10" s="362">
        <v>2750.6194099999998</v>
      </c>
      <c r="E10" s="295">
        <f t="shared" si="2"/>
        <v>93.816318658080704</v>
      </c>
      <c r="F10" s="295">
        <f t="shared" si="1"/>
        <v>-181.30059000000028</v>
      </c>
    </row>
    <row r="11" spans="1:6" ht="23.25">
      <c r="A11" s="7">
        <v>1030226001</v>
      </c>
      <c r="B11" s="256" t="s">
        <v>291</v>
      </c>
      <c r="C11" s="295">
        <v>0</v>
      </c>
      <c r="D11" s="362">
        <v>-419.43038999999999</v>
      </c>
      <c r="E11" s="295" t="e">
        <f t="shared" si="2"/>
        <v>#DIV/0!</v>
      </c>
      <c r="F11" s="295">
        <f t="shared" si="1"/>
        <v>-419.43038999999999</v>
      </c>
    </row>
    <row r="12" spans="1:6" s="6" customFormat="1" ht="22.5">
      <c r="A12" s="68">
        <v>1050000000</v>
      </c>
      <c r="B12" s="255" t="s">
        <v>7</v>
      </c>
      <c r="C12" s="294">
        <f>SUM(C13:C15)</f>
        <v>11852</v>
      </c>
      <c r="D12" s="446">
        <f>SUM(D13:D15)</f>
        <v>11435.548839999999</v>
      </c>
      <c r="E12" s="294">
        <f t="shared" si="0"/>
        <v>96.486237259534249</v>
      </c>
      <c r="F12" s="294">
        <f t="shared" si="1"/>
        <v>-416.45116000000053</v>
      </c>
    </row>
    <row r="13" spans="1:6" ht="23.25">
      <c r="A13" s="7">
        <v>1050200000</v>
      </c>
      <c r="B13" s="258" t="s">
        <v>239</v>
      </c>
      <c r="C13" s="363">
        <v>10415</v>
      </c>
      <c r="D13" s="362">
        <v>10307.511039999999</v>
      </c>
      <c r="E13" s="295">
        <f t="shared" si="0"/>
        <v>98.967940854536721</v>
      </c>
      <c r="F13" s="295">
        <f t="shared" si="1"/>
        <v>-107.48896000000059</v>
      </c>
    </row>
    <row r="14" spans="1:6" ht="23.25" customHeight="1">
      <c r="A14" s="7">
        <v>1050300000</v>
      </c>
      <c r="B14" s="258" t="s">
        <v>230</v>
      </c>
      <c r="C14" s="363">
        <v>1087</v>
      </c>
      <c r="D14" s="362">
        <v>992.20109000000002</v>
      </c>
      <c r="E14" s="295">
        <f t="shared" si="0"/>
        <v>91.278849126034956</v>
      </c>
      <c r="F14" s="295">
        <f t="shared" si="1"/>
        <v>-94.798909999999978</v>
      </c>
    </row>
    <row r="15" spans="1:6" ht="37.5">
      <c r="A15" s="7">
        <v>1050400002</v>
      </c>
      <c r="B15" s="256" t="s">
        <v>266</v>
      </c>
      <c r="C15" s="363">
        <v>350</v>
      </c>
      <c r="D15" s="362">
        <v>135.83671000000001</v>
      </c>
      <c r="E15" s="295">
        <f t="shared" si="0"/>
        <v>38.810488571428579</v>
      </c>
      <c r="F15" s="295">
        <f t="shared" si="1"/>
        <v>-214.16328999999999</v>
      </c>
    </row>
    <row r="16" spans="1:6" s="6" customFormat="1" ht="24" customHeight="1">
      <c r="A16" s="68">
        <v>1060000000</v>
      </c>
      <c r="B16" s="255" t="s">
        <v>136</v>
      </c>
      <c r="C16" s="294">
        <f>SUM(C17:C20)</f>
        <v>1915</v>
      </c>
      <c r="D16" s="446">
        <f>SUM(D17:D20)</f>
        <v>1679.72902</v>
      </c>
      <c r="E16" s="294">
        <f t="shared" si="0"/>
        <v>87.714309138381196</v>
      </c>
      <c r="F16" s="294">
        <f t="shared" si="1"/>
        <v>-235.27098000000001</v>
      </c>
    </row>
    <row r="17" spans="1:6" s="6" customFormat="1" ht="18" hidden="1" customHeight="1">
      <c r="A17" s="7">
        <v>1060100000</v>
      </c>
      <c r="B17" s="258" t="s">
        <v>9</v>
      </c>
      <c r="C17" s="295"/>
      <c r="D17" s="362"/>
      <c r="E17" s="294" t="e">
        <f t="shared" si="0"/>
        <v>#DIV/0!</v>
      </c>
      <c r="F17" s="294">
        <f t="shared" si="1"/>
        <v>0</v>
      </c>
    </row>
    <row r="18" spans="1:6" s="6" customFormat="1" ht="17.25" hidden="1" customHeight="1">
      <c r="A18" s="7">
        <v>1060200000</v>
      </c>
      <c r="B18" s="258" t="s">
        <v>123</v>
      </c>
      <c r="C18" s="295"/>
      <c r="D18" s="362"/>
      <c r="E18" s="294" t="e">
        <f t="shared" si="0"/>
        <v>#DIV/0!</v>
      </c>
      <c r="F18" s="294">
        <f t="shared" si="1"/>
        <v>0</v>
      </c>
    </row>
    <row r="19" spans="1:6" s="6" customFormat="1" ht="21.75" customHeight="1">
      <c r="A19" s="7">
        <v>1060400000</v>
      </c>
      <c r="B19" s="258" t="s">
        <v>280</v>
      </c>
      <c r="C19" s="295">
        <v>1915</v>
      </c>
      <c r="D19" s="362">
        <v>1679.72902</v>
      </c>
      <c r="E19" s="295">
        <f t="shared" si="0"/>
        <v>87.714309138381196</v>
      </c>
      <c r="F19" s="295">
        <f t="shared" si="1"/>
        <v>-235.27098000000001</v>
      </c>
    </row>
    <row r="20" spans="1:6" ht="15.75" hidden="1" customHeight="1">
      <c r="A20" s="7">
        <v>1060600000</v>
      </c>
      <c r="B20" s="258" t="s">
        <v>8</v>
      </c>
      <c r="C20" s="295"/>
      <c r="D20" s="362"/>
      <c r="E20" s="295" t="e">
        <f t="shared" si="0"/>
        <v>#DIV/0!</v>
      </c>
      <c r="F20" s="295">
        <f t="shared" si="1"/>
        <v>0</v>
      </c>
    </row>
    <row r="21" spans="1:6" s="6" customFormat="1" ht="42" customHeight="1">
      <c r="A21" s="68">
        <v>1070000000</v>
      </c>
      <c r="B21" s="257" t="s">
        <v>10</v>
      </c>
      <c r="C21" s="294">
        <f>SUM(C22)</f>
        <v>199.14</v>
      </c>
      <c r="D21" s="294">
        <f>SUM(D22)</f>
        <v>151.76222999999999</v>
      </c>
      <c r="E21" s="294">
        <f t="shared" si="0"/>
        <v>76.208812895450436</v>
      </c>
      <c r="F21" s="294">
        <f t="shared" si="1"/>
        <v>-47.377769999999998</v>
      </c>
    </row>
    <row r="22" spans="1:6" ht="41.25" customHeight="1">
      <c r="A22" s="7">
        <v>1070102001</v>
      </c>
      <c r="B22" s="256" t="s">
        <v>240</v>
      </c>
      <c r="C22" s="295">
        <v>199.14</v>
      </c>
      <c r="D22" s="362">
        <v>151.76222999999999</v>
      </c>
      <c r="E22" s="295">
        <f t="shared" si="0"/>
        <v>76.208812895450436</v>
      </c>
      <c r="F22" s="295">
        <f t="shared" si="1"/>
        <v>-47.377769999999998</v>
      </c>
    </row>
    <row r="23" spans="1:6" s="6" customFormat="1" ht="22.5">
      <c r="A23" s="3">
        <v>1080000000</v>
      </c>
      <c r="B23" s="255" t="s">
        <v>11</v>
      </c>
      <c r="C23" s="294">
        <f>C24+C25+C26</f>
        <v>2600</v>
      </c>
      <c r="D23" s="446">
        <f>D24+D25+D26</f>
        <v>2545.1197900000002</v>
      </c>
      <c r="E23" s="294">
        <f t="shared" si="0"/>
        <v>97.889222692307698</v>
      </c>
      <c r="F23" s="294">
        <f t="shared" si="1"/>
        <v>-54.880209999999806</v>
      </c>
    </row>
    <row r="24" spans="1:6" ht="36.75" customHeight="1">
      <c r="A24" s="7">
        <v>1080300001</v>
      </c>
      <c r="B24" s="256" t="s">
        <v>241</v>
      </c>
      <c r="C24" s="295">
        <v>2000</v>
      </c>
      <c r="D24" s="362">
        <v>1927.33437</v>
      </c>
      <c r="E24" s="295">
        <f t="shared" si="0"/>
        <v>96.366718500000005</v>
      </c>
      <c r="F24" s="295">
        <f t="shared" si="1"/>
        <v>-72.665629999999965</v>
      </c>
    </row>
    <row r="25" spans="1:6" ht="33.75" customHeight="1">
      <c r="A25" s="7">
        <v>1080600001</v>
      </c>
      <c r="B25" s="256" t="s">
        <v>228</v>
      </c>
      <c r="C25" s="295">
        <v>0</v>
      </c>
      <c r="D25" s="362">
        <v>0.375</v>
      </c>
      <c r="E25" s="295" t="e">
        <f>SUM(D25/C25*100)</f>
        <v>#DIV/0!</v>
      </c>
      <c r="F25" s="295">
        <f t="shared" si="1"/>
        <v>0.375</v>
      </c>
    </row>
    <row r="26" spans="1:6" ht="69.75" customHeight="1">
      <c r="A26" s="7">
        <v>1080714001</v>
      </c>
      <c r="B26" s="256" t="s">
        <v>227</v>
      </c>
      <c r="C26" s="295">
        <v>600</v>
      </c>
      <c r="D26" s="362">
        <v>617.41042000000004</v>
      </c>
      <c r="E26" s="295">
        <f t="shared" si="0"/>
        <v>102.90173666666666</v>
      </c>
      <c r="F26" s="295">
        <f t="shared" si="1"/>
        <v>17.410420000000045</v>
      </c>
    </row>
    <row r="27" spans="1:6" s="15" customFormat="1" ht="0.75" customHeight="1">
      <c r="A27" s="68">
        <v>1090000000</v>
      </c>
      <c r="B27" s="257" t="s">
        <v>231</v>
      </c>
      <c r="C27" s="294">
        <f>C28+C29+C30+C31</f>
        <v>0</v>
      </c>
      <c r="D27" s="294">
        <f>D28+D29+D30+D31</f>
        <v>0</v>
      </c>
      <c r="E27" s="295" t="e">
        <f t="shared" si="0"/>
        <v>#DIV/0!</v>
      </c>
      <c r="F27" s="294">
        <f t="shared" si="1"/>
        <v>0</v>
      </c>
    </row>
    <row r="28" spans="1:6" s="15" customFormat="1" ht="17.25" hidden="1" customHeight="1">
      <c r="A28" s="7">
        <v>1090100000</v>
      </c>
      <c r="B28" s="256" t="s">
        <v>125</v>
      </c>
      <c r="C28" s="295">
        <v>0</v>
      </c>
      <c r="D28" s="362">
        <v>0</v>
      </c>
      <c r="E28" s="295" t="e">
        <f t="shared" si="0"/>
        <v>#DIV/0!</v>
      </c>
      <c r="F28" s="295">
        <f t="shared" si="1"/>
        <v>0</v>
      </c>
    </row>
    <row r="29" spans="1:6" s="15" customFormat="1" ht="17.25" hidden="1" customHeight="1">
      <c r="A29" s="7">
        <v>1090400000</v>
      </c>
      <c r="B29" s="256" t="s">
        <v>126</v>
      </c>
      <c r="C29" s="295">
        <v>0</v>
      </c>
      <c r="D29" s="362">
        <v>0</v>
      </c>
      <c r="E29" s="295" t="e">
        <f t="shared" si="0"/>
        <v>#DIV/0!</v>
      </c>
      <c r="F29" s="295">
        <f t="shared" si="1"/>
        <v>0</v>
      </c>
    </row>
    <row r="30" spans="1:6" s="15" customFormat="1" ht="15.75" hidden="1" customHeight="1">
      <c r="A30" s="7">
        <v>1090600000</v>
      </c>
      <c r="B30" s="256" t="s">
        <v>127</v>
      </c>
      <c r="C30" s="295">
        <v>0</v>
      </c>
      <c r="D30" s="362">
        <v>0</v>
      </c>
      <c r="E30" s="295" t="e">
        <f t="shared" si="0"/>
        <v>#DIV/0!</v>
      </c>
      <c r="F30" s="295">
        <f t="shared" si="1"/>
        <v>0</v>
      </c>
    </row>
    <row r="31" spans="1:6" s="15" customFormat="1" ht="42" customHeight="1">
      <c r="A31" s="7">
        <v>1090700000</v>
      </c>
      <c r="B31" s="256" t="s">
        <v>128</v>
      </c>
      <c r="C31" s="295">
        <v>0</v>
      </c>
      <c r="D31" s="362">
        <v>0</v>
      </c>
      <c r="E31" s="295" t="e">
        <f t="shared" si="0"/>
        <v>#DIV/0!</v>
      </c>
      <c r="F31" s="295">
        <f t="shared" si="1"/>
        <v>0</v>
      </c>
    </row>
    <row r="32" spans="1:6" s="6" customFormat="1" ht="33.75" customHeight="1">
      <c r="A32" s="3"/>
      <c r="B32" s="255" t="s">
        <v>13</v>
      </c>
      <c r="C32" s="294">
        <f>C33+C42+C44+C47+C50+C52+C69</f>
        <v>30280.277000000002</v>
      </c>
      <c r="D32" s="294">
        <f>D33+D42+D44+D47+D50+D52+D69</f>
        <v>22987.763289999999</v>
      </c>
      <c r="E32" s="294">
        <f t="shared" si="0"/>
        <v>75.916621535529544</v>
      </c>
      <c r="F32" s="294">
        <f t="shared" si="1"/>
        <v>-7292.5137100000029</v>
      </c>
    </row>
    <row r="33" spans="1:6" s="6" customFormat="1" ht="60.75" customHeight="1">
      <c r="A33" s="3">
        <v>1110000000</v>
      </c>
      <c r="B33" s="257" t="s">
        <v>129</v>
      </c>
      <c r="C33" s="294">
        <f>C35+C36+C37+C39+C38+C34+C41</f>
        <v>10556.3</v>
      </c>
      <c r="D33" s="446">
        <f>D35+D36+D37+D39+D38+D34+D41+D40</f>
        <v>9783.6935099999973</v>
      </c>
      <c r="E33" s="294">
        <f t="shared" si="0"/>
        <v>92.681086270757731</v>
      </c>
      <c r="F33" s="294">
        <f t="shared" si="1"/>
        <v>-772.60649000000194</v>
      </c>
    </row>
    <row r="34" spans="1:6" s="6" customFormat="1" ht="34.5" customHeight="1">
      <c r="A34" s="7">
        <v>1110105005</v>
      </c>
      <c r="B34" s="256" t="s">
        <v>320</v>
      </c>
      <c r="C34" s="295">
        <v>10</v>
      </c>
      <c r="D34" s="295">
        <v>16.89</v>
      </c>
      <c r="E34" s="295">
        <f t="shared" si="0"/>
        <v>168.9</v>
      </c>
      <c r="F34" s="295">
        <f t="shared" si="1"/>
        <v>6.8900000000000006</v>
      </c>
    </row>
    <row r="35" spans="1:6" ht="27.75" customHeight="1">
      <c r="A35" s="7">
        <v>1110305005</v>
      </c>
      <c r="B35" s="258" t="s">
        <v>242</v>
      </c>
      <c r="C35" s="295">
        <v>0</v>
      </c>
      <c r="D35" s="362">
        <v>0</v>
      </c>
      <c r="E35" s="295" t="e">
        <f t="shared" si="0"/>
        <v>#DIV/0!</v>
      </c>
      <c r="F35" s="295">
        <f t="shared" si="1"/>
        <v>0</v>
      </c>
    </row>
    <row r="36" spans="1:6" ht="23.25">
      <c r="A36" s="16">
        <v>1110501101</v>
      </c>
      <c r="B36" s="259" t="s">
        <v>226</v>
      </c>
      <c r="C36" s="363">
        <v>9636.2999999999993</v>
      </c>
      <c r="D36" s="362">
        <v>8829.4329199999993</v>
      </c>
      <c r="E36" s="295">
        <f t="shared" si="0"/>
        <v>91.626795761858801</v>
      </c>
      <c r="F36" s="295">
        <f t="shared" si="1"/>
        <v>-806.86707999999999</v>
      </c>
    </row>
    <row r="37" spans="1:6" ht="20.25" customHeight="1">
      <c r="A37" s="7">
        <v>1110503505</v>
      </c>
      <c r="B37" s="258" t="s">
        <v>225</v>
      </c>
      <c r="C37" s="363">
        <v>300</v>
      </c>
      <c r="D37" s="362">
        <v>322.55979000000002</v>
      </c>
      <c r="E37" s="295">
        <f t="shared" si="0"/>
        <v>107.51993</v>
      </c>
      <c r="F37" s="295">
        <f t="shared" si="1"/>
        <v>22.559790000000021</v>
      </c>
    </row>
    <row r="38" spans="1:6" ht="131.25">
      <c r="A38" s="7">
        <v>1110502000</v>
      </c>
      <c r="B38" s="256" t="s">
        <v>277</v>
      </c>
      <c r="C38" s="364">
        <v>0</v>
      </c>
      <c r="D38" s="362">
        <v>0</v>
      </c>
      <c r="E38" s="295" t="e">
        <f t="shared" si="0"/>
        <v>#DIV/0!</v>
      </c>
      <c r="F38" s="295">
        <f t="shared" si="1"/>
        <v>0</v>
      </c>
    </row>
    <row r="39" spans="1:6" s="15" customFormat="1" ht="23.25">
      <c r="A39" s="7">
        <v>1110701505</v>
      </c>
      <c r="B39" s="258" t="s">
        <v>243</v>
      </c>
      <c r="C39" s="363">
        <v>20</v>
      </c>
      <c r="D39" s="362">
        <v>17.364999999999998</v>
      </c>
      <c r="E39" s="295">
        <f t="shared" si="0"/>
        <v>86.825000000000003</v>
      </c>
      <c r="F39" s="295">
        <f t="shared" si="1"/>
        <v>-2.6350000000000016</v>
      </c>
    </row>
    <row r="40" spans="1:6" s="15" customFormat="1" ht="23.25">
      <c r="A40" s="7">
        <v>1110903000</v>
      </c>
      <c r="B40" s="258" t="s">
        <v>415</v>
      </c>
      <c r="C40" s="363">
        <v>0</v>
      </c>
      <c r="D40" s="362">
        <v>0</v>
      </c>
      <c r="E40" s="295" t="e">
        <f t="shared" ref="E40" si="3">SUM(D40/C40*100)</f>
        <v>#DIV/0!</v>
      </c>
      <c r="F40" s="295">
        <f t="shared" ref="F40" si="4">SUM(D40-C40)</f>
        <v>0</v>
      </c>
    </row>
    <row r="41" spans="1:6" s="15" customFormat="1" ht="23.25">
      <c r="A41" s="7">
        <v>1110904505</v>
      </c>
      <c r="B41" s="258" t="s">
        <v>334</v>
      </c>
      <c r="C41" s="363">
        <v>590</v>
      </c>
      <c r="D41" s="362">
        <v>597.44579999999996</v>
      </c>
      <c r="E41" s="295">
        <f t="shared" si="0"/>
        <v>101.26199999999999</v>
      </c>
      <c r="F41" s="295">
        <f t="shared" si="1"/>
        <v>7.4457999999999629</v>
      </c>
    </row>
    <row r="42" spans="1:6" s="15" customFormat="1" ht="37.5">
      <c r="A42" s="68">
        <v>1120000000</v>
      </c>
      <c r="B42" s="257" t="s">
        <v>130</v>
      </c>
      <c r="C42" s="365">
        <f>C43</f>
        <v>670</v>
      </c>
      <c r="D42" s="457">
        <f>D43</f>
        <v>678.52874999999995</v>
      </c>
      <c r="E42" s="294">
        <f t="shared" si="0"/>
        <v>101.27294776119402</v>
      </c>
      <c r="F42" s="294">
        <f t="shared" si="1"/>
        <v>8.5287499999999454</v>
      </c>
    </row>
    <row r="43" spans="1:6" s="15" customFormat="1" ht="37.5">
      <c r="A43" s="7">
        <v>1120100001</v>
      </c>
      <c r="B43" s="256" t="s">
        <v>244</v>
      </c>
      <c r="C43" s="295">
        <v>670</v>
      </c>
      <c r="D43" s="362">
        <v>678.52874999999995</v>
      </c>
      <c r="E43" s="295">
        <f t="shared" si="0"/>
        <v>101.27294776119402</v>
      </c>
      <c r="F43" s="295">
        <f t="shared" si="1"/>
        <v>8.5287499999999454</v>
      </c>
    </row>
    <row r="44" spans="1:6" s="254" customFormat="1" ht="21.75" customHeight="1">
      <c r="A44" s="322">
        <v>1130000000</v>
      </c>
      <c r="B44" s="260" t="s">
        <v>131</v>
      </c>
      <c r="C44" s="294">
        <f>C45+C46</f>
        <v>129</v>
      </c>
      <c r="D44" s="446">
        <f>D45+D46</f>
        <v>360.12027</v>
      </c>
      <c r="E44" s="294">
        <f t="shared" si="0"/>
        <v>279.16300000000001</v>
      </c>
      <c r="F44" s="294">
        <f t="shared" si="1"/>
        <v>231.12027</v>
      </c>
    </row>
    <row r="45" spans="1:6" s="15" customFormat="1" ht="36" customHeight="1">
      <c r="A45" s="7">
        <v>1130200000</v>
      </c>
      <c r="B45" s="256" t="s">
        <v>330</v>
      </c>
      <c r="C45" s="295">
        <v>129</v>
      </c>
      <c r="D45" s="295">
        <v>360.12027</v>
      </c>
      <c r="E45" s="295">
        <f>SUM(D45/C45*100)</f>
        <v>279.16300000000001</v>
      </c>
      <c r="F45" s="295">
        <f>SUM(D45-C45)</f>
        <v>231.12027</v>
      </c>
    </row>
    <row r="46" spans="1:6" ht="25.5" customHeight="1">
      <c r="A46" s="7">
        <v>1130305005</v>
      </c>
      <c r="B46" s="256" t="s">
        <v>224</v>
      </c>
      <c r="C46" s="295">
        <v>0</v>
      </c>
      <c r="D46" s="362">
        <v>0</v>
      </c>
      <c r="E46" s="295"/>
      <c r="F46" s="295">
        <f t="shared" si="1"/>
        <v>0</v>
      </c>
    </row>
    <row r="47" spans="1:6" ht="20.25" customHeight="1">
      <c r="A47" s="109">
        <v>1140000000</v>
      </c>
      <c r="B47" s="261" t="s">
        <v>132</v>
      </c>
      <c r="C47" s="294">
        <f>C48+C49</f>
        <v>9328.9770000000008</v>
      </c>
      <c r="D47" s="446">
        <f>D48+D49</f>
        <v>2010.9256500000001</v>
      </c>
      <c r="E47" s="294">
        <f t="shared" si="0"/>
        <v>21.555693084032686</v>
      </c>
      <c r="F47" s="294">
        <f t="shared" si="1"/>
        <v>-7318.0513500000006</v>
      </c>
    </row>
    <row r="48" spans="1:6" ht="23.25">
      <c r="A48" s="16">
        <v>1140200000</v>
      </c>
      <c r="B48" s="262" t="s">
        <v>222</v>
      </c>
      <c r="C48" s="295">
        <v>200</v>
      </c>
      <c r="D48" s="362">
        <v>201.07220000000001</v>
      </c>
      <c r="E48" s="295">
        <f t="shared" si="0"/>
        <v>100.53609999999999</v>
      </c>
      <c r="F48" s="295">
        <f t="shared" si="1"/>
        <v>1.0722000000000094</v>
      </c>
    </row>
    <row r="49" spans="1:8" ht="24" customHeight="1">
      <c r="A49" s="7">
        <v>1140600000</v>
      </c>
      <c r="B49" s="256" t="s">
        <v>223</v>
      </c>
      <c r="C49" s="295">
        <v>9128.9770000000008</v>
      </c>
      <c r="D49" s="362">
        <v>1809.8534500000001</v>
      </c>
      <c r="E49" s="295">
        <f t="shared" si="0"/>
        <v>19.825369808687217</v>
      </c>
      <c r="F49" s="295">
        <f t="shared" si="1"/>
        <v>-7319.1235500000003</v>
      </c>
    </row>
    <row r="50" spans="1:8" ht="37.5" hidden="1">
      <c r="A50" s="3">
        <v>1150000000</v>
      </c>
      <c r="B50" s="257" t="s">
        <v>235</v>
      </c>
      <c r="C50" s="294">
        <f>C51</f>
        <v>0</v>
      </c>
      <c r="D50" s="294">
        <f>D51</f>
        <v>0</v>
      </c>
      <c r="E50" s="294" t="e">
        <f t="shared" si="0"/>
        <v>#DIV/0!</v>
      </c>
      <c r="F50" s="294">
        <f t="shared" si="1"/>
        <v>0</v>
      </c>
    </row>
    <row r="51" spans="1:8" ht="56.25" hidden="1">
      <c r="A51" s="7">
        <v>1150205005</v>
      </c>
      <c r="B51" s="256" t="s">
        <v>236</v>
      </c>
      <c r="C51" s="295">
        <v>0</v>
      </c>
      <c r="D51" s="362">
        <v>0</v>
      </c>
      <c r="E51" s="295" t="e">
        <f t="shared" si="0"/>
        <v>#DIV/0!</v>
      </c>
      <c r="F51" s="295">
        <f t="shared" si="1"/>
        <v>0</v>
      </c>
    </row>
    <row r="52" spans="1:8" ht="37.5">
      <c r="A52" s="3">
        <v>1160000000</v>
      </c>
      <c r="B52" s="257" t="s">
        <v>134</v>
      </c>
      <c r="C52" s="445">
        <f>C53+C54+C55+C56+C57+C58+C59+C60+C61+C62+C63+C64+C65+C66+C67+C68</f>
        <v>9596</v>
      </c>
      <c r="D52" s="446">
        <f>D53+D54+D55+D56+D57+D58+D59+D60+D61+D62+D63+D64+D65+D66+D67+D68</f>
        <v>10154.46911</v>
      </c>
      <c r="E52" s="294">
        <f>SUM(D52/C52*100)</f>
        <v>105.81981148395165</v>
      </c>
      <c r="F52" s="294">
        <f t="shared" si="1"/>
        <v>558.46911</v>
      </c>
      <c r="H52" s="152"/>
    </row>
    <row r="53" spans="1:8" ht="23.25">
      <c r="A53" s="7">
        <v>1160301001</v>
      </c>
      <c r="B53" s="256" t="s">
        <v>245</v>
      </c>
      <c r="C53" s="295">
        <v>12</v>
      </c>
      <c r="D53" s="366">
        <v>10.519</v>
      </c>
      <c r="E53" s="295">
        <f>SUM(D53/C53*100)</f>
        <v>87.658333333333331</v>
      </c>
      <c r="F53" s="295">
        <f t="shared" si="1"/>
        <v>-1.4809999999999999</v>
      </c>
    </row>
    <row r="54" spans="1:8" ht="21" customHeight="1">
      <c r="A54" s="7">
        <v>1160303001</v>
      </c>
      <c r="B54" s="256" t="s">
        <v>246</v>
      </c>
      <c r="C54" s="295">
        <v>8</v>
      </c>
      <c r="D54" s="367">
        <v>6.7</v>
      </c>
      <c r="E54" s="295">
        <f t="shared" si="0"/>
        <v>83.75</v>
      </c>
      <c r="F54" s="295">
        <f t="shared" si="1"/>
        <v>-1.2999999999999998</v>
      </c>
    </row>
    <row r="55" spans="1:8" ht="23.25" customHeight="1">
      <c r="A55" s="7">
        <v>1160600000</v>
      </c>
      <c r="B55" s="256" t="s">
        <v>247</v>
      </c>
      <c r="C55" s="447">
        <v>0</v>
      </c>
      <c r="D55" s="367">
        <v>0</v>
      </c>
      <c r="E55" s="295" t="e">
        <f t="shared" si="0"/>
        <v>#DIV/0!</v>
      </c>
      <c r="F55" s="295">
        <f t="shared" si="1"/>
        <v>0</v>
      </c>
    </row>
    <row r="56" spans="1:8" s="15" customFormat="1" ht="48" customHeight="1">
      <c r="A56" s="7">
        <v>1160800001</v>
      </c>
      <c r="B56" s="256" t="s">
        <v>248</v>
      </c>
      <c r="C56" s="295">
        <v>610</v>
      </c>
      <c r="D56" s="367">
        <v>610</v>
      </c>
      <c r="E56" s="295">
        <f t="shared" si="0"/>
        <v>100</v>
      </c>
      <c r="F56" s="295">
        <f t="shared" si="1"/>
        <v>0</v>
      </c>
    </row>
    <row r="57" spans="1:8" ht="35.25" customHeight="1">
      <c r="A57" s="7">
        <v>1160802001</v>
      </c>
      <c r="B57" s="256" t="s">
        <v>342</v>
      </c>
      <c r="C57" s="447">
        <v>0</v>
      </c>
      <c r="D57" s="362">
        <v>0</v>
      </c>
      <c r="E57" s="295" t="e">
        <f t="shared" si="0"/>
        <v>#DIV/0!</v>
      </c>
      <c r="F57" s="295">
        <f t="shared" si="1"/>
        <v>0</v>
      </c>
    </row>
    <row r="58" spans="1:8" ht="35.25" customHeight="1">
      <c r="A58" s="7">
        <v>1162105005</v>
      </c>
      <c r="B58" s="256" t="s">
        <v>16</v>
      </c>
      <c r="C58" s="295">
        <v>165</v>
      </c>
      <c r="D58" s="362">
        <v>274.71800000000002</v>
      </c>
      <c r="E58" s="295">
        <f t="shared" si="0"/>
        <v>166.49575757575758</v>
      </c>
      <c r="F58" s="295">
        <f t="shared" si="1"/>
        <v>109.71800000000002</v>
      </c>
    </row>
    <row r="59" spans="1:8" ht="35.25" customHeight="1">
      <c r="A59" s="16">
        <v>1162503001</v>
      </c>
      <c r="B59" s="262" t="s">
        <v>333</v>
      </c>
      <c r="C59" s="295">
        <v>0</v>
      </c>
      <c r="D59" s="362">
        <v>0.1</v>
      </c>
      <c r="E59" s="295" t="e">
        <f t="shared" si="0"/>
        <v>#DIV/0!</v>
      </c>
      <c r="F59" s="295">
        <f t="shared" si="1"/>
        <v>0.1</v>
      </c>
    </row>
    <row r="60" spans="1:8" ht="21.75" customHeight="1">
      <c r="A60" s="16">
        <v>1162505001</v>
      </c>
      <c r="B60" s="262" t="s">
        <v>345</v>
      </c>
      <c r="C60" s="295">
        <v>20</v>
      </c>
      <c r="D60" s="362">
        <v>20</v>
      </c>
      <c r="E60" s="295">
        <f t="shared" si="0"/>
        <v>100</v>
      </c>
      <c r="F60" s="295">
        <f t="shared" si="1"/>
        <v>0</v>
      </c>
    </row>
    <row r="61" spans="1:8" ht="20.25" customHeight="1">
      <c r="A61" s="16">
        <v>1162506001</v>
      </c>
      <c r="B61" s="262" t="s">
        <v>269</v>
      </c>
      <c r="C61" s="295">
        <v>135</v>
      </c>
      <c r="D61" s="362">
        <v>66.060460000000006</v>
      </c>
      <c r="E61" s="295">
        <f t="shared" si="0"/>
        <v>48.933674074074077</v>
      </c>
      <c r="F61" s="295">
        <f t="shared" si="1"/>
        <v>-68.939539999999994</v>
      </c>
    </row>
    <row r="62" spans="1:8" ht="0.75" customHeight="1">
      <c r="A62" s="7">
        <v>1162700001</v>
      </c>
      <c r="B62" s="256" t="s">
        <v>249</v>
      </c>
      <c r="C62" s="295">
        <v>0</v>
      </c>
      <c r="D62" s="362">
        <v>0</v>
      </c>
      <c r="E62" s="295" t="e">
        <f t="shared" si="0"/>
        <v>#DIV/0!</v>
      </c>
      <c r="F62" s="295">
        <f t="shared" si="1"/>
        <v>0</v>
      </c>
    </row>
    <row r="63" spans="1:8" ht="37.5" customHeight="1">
      <c r="A63" s="7">
        <v>1162800001</v>
      </c>
      <c r="B63" s="256" t="s">
        <v>238</v>
      </c>
      <c r="C63" s="295">
        <v>449</v>
      </c>
      <c r="D63" s="362">
        <v>479.37635999999998</v>
      </c>
      <c r="E63" s="295">
        <f>SUM(D63/C63*100)</f>
        <v>106.76533630289531</v>
      </c>
      <c r="F63" s="295">
        <f>SUM(D63-C63)</f>
        <v>30.376359999999977</v>
      </c>
    </row>
    <row r="64" spans="1:8" ht="36" customHeight="1">
      <c r="A64" s="7">
        <v>1163003001</v>
      </c>
      <c r="B64" s="256" t="s">
        <v>270</v>
      </c>
      <c r="C64" s="295">
        <v>167</v>
      </c>
      <c r="D64" s="362">
        <v>592</v>
      </c>
      <c r="E64" s="295">
        <f>SUM(D64/C64*100)</f>
        <v>354.49101796407183</v>
      </c>
      <c r="F64" s="295">
        <f>SUM(D64-C64)</f>
        <v>425</v>
      </c>
    </row>
    <row r="65" spans="1:8" ht="56.25">
      <c r="A65" s="7">
        <v>1164300001</v>
      </c>
      <c r="B65" s="263" t="s">
        <v>262</v>
      </c>
      <c r="C65" s="295">
        <v>300</v>
      </c>
      <c r="D65" s="362">
        <v>304.54975999999999</v>
      </c>
      <c r="E65" s="295">
        <f t="shared" si="0"/>
        <v>101.51658666666667</v>
      </c>
      <c r="F65" s="295">
        <f t="shared" si="1"/>
        <v>4.549759999999992</v>
      </c>
    </row>
    <row r="66" spans="1:8" ht="73.5" customHeight="1">
      <c r="A66" s="7">
        <v>1163305005</v>
      </c>
      <c r="B66" s="256" t="s">
        <v>17</v>
      </c>
      <c r="C66" s="295">
        <v>5135</v>
      </c>
      <c r="D66" s="362">
        <v>5120.5715399999999</v>
      </c>
      <c r="E66" s="295">
        <f t="shared" si="0"/>
        <v>99.719017332035051</v>
      </c>
      <c r="F66" s="295">
        <f t="shared" si="1"/>
        <v>-14.428460000000086</v>
      </c>
    </row>
    <row r="67" spans="1:8" ht="23.25">
      <c r="A67" s="7">
        <v>1163500000</v>
      </c>
      <c r="B67" s="256" t="s">
        <v>331</v>
      </c>
      <c r="C67" s="295">
        <v>0</v>
      </c>
      <c r="D67" s="362">
        <v>0</v>
      </c>
      <c r="E67" s="295" t="e">
        <f t="shared" si="0"/>
        <v>#DIV/0!</v>
      </c>
      <c r="F67" s="295">
        <f t="shared" si="1"/>
        <v>0</v>
      </c>
    </row>
    <row r="68" spans="1:8" ht="35.25" customHeight="1">
      <c r="A68" s="7">
        <v>1169000000</v>
      </c>
      <c r="B68" s="256" t="s">
        <v>237</v>
      </c>
      <c r="C68" s="295">
        <v>2595</v>
      </c>
      <c r="D68" s="362">
        <v>2669.87399</v>
      </c>
      <c r="E68" s="295">
        <f t="shared" si="0"/>
        <v>102.88531753371871</v>
      </c>
      <c r="F68" s="295">
        <f t="shared" si="1"/>
        <v>74.873990000000049</v>
      </c>
    </row>
    <row r="69" spans="1:8" ht="25.5" customHeight="1">
      <c r="A69" s="3">
        <v>1170000000</v>
      </c>
      <c r="B69" s="257" t="s">
        <v>135</v>
      </c>
      <c r="C69" s="294">
        <f>C70+C71</f>
        <v>0</v>
      </c>
      <c r="D69" s="294">
        <f>D70+D71</f>
        <v>2.5999999999999999E-2</v>
      </c>
      <c r="E69" s="295" t="e">
        <f t="shared" si="0"/>
        <v>#DIV/0!</v>
      </c>
      <c r="F69" s="294">
        <f t="shared" si="1"/>
        <v>2.5999999999999999E-2</v>
      </c>
    </row>
    <row r="70" spans="1:8" ht="23.25">
      <c r="A70" s="7">
        <v>1170105005</v>
      </c>
      <c r="B70" s="256" t="s">
        <v>18</v>
      </c>
      <c r="C70" s="295">
        <v>0</v>
      </c>
      <c r="D70" s="295">
        <v>2.5999999999999999E-2</v>
      </c>
      <c r="E70" s="295" t="e">
        <f t="shared" si="0"/>
        <v>#DIV/0!</v>
      </c>
      <c r="F70" s="295">
        <f t="shared" si="1"/>
        <v>2.5999999999999999E-2</v>
      </c>
    </row>
    <row r="71" spans="1:8" ht="23.25">
      <c r="A71" s="7">
        <v>1170505005</v>
      </c>
      <c r="B71" s="258" t="s">
        <v>221</v>
      </c>
      <c r="C71" s="295">
        <v>0</v>
      </c>
      <c r="D71" s="362">
        <v>0</v>
      </c>
      <c r="E71" s="295" t="e">
        <f t="shared" si="0"/>
        <v>#DIV/0!</v>
      </c>
      <c r="F71" s="295">
        <f t="shared" si="1"/>
        <v>0</v>
      </c>
    </row>
    <row r="72" spans="1:8" s="6" customFormat="1" ht="22.5">
      <c r="A72" s="3">
        <v>1000000000</v>
      </c>
      <c r="B72" s="255" t="s">
        <v>19</v>
      </c>
      <c r="C72" s="368">
        <f>SUM(C4,C32)</f>
        <v>156884.277</v>
      </c>
      <c r="D72" s="368">
        <f>SUM(D4,D32)</f>
        <v>136901.69798</v>
      </c>
      <c r="E72" s="294">
        <f>SUM(D72/C72*100)</f>
        <v>87.262854250206345</v>
      </c>
      <c r="F72" s="294">
        <f>SUM(D72-C72)</f>
        <v>-19982.579020000005</v>
      </c>
      <c r="G72" s="94"/>
      <c r="H72" s="94"/>
    </row>
    <row r="73" spans="1:8" s="6" customFormat="1" ht="30" customHeight="1">
      <c r="A73" s="3">
        <v>2000000000</v>
      </c>
      <c r="B73" s="255" t="s">
        <v>20</v>
      </c>
      <c r="C73" s="294">
        <f>C74+C77+C78+C79+C81+C76+C80</f>
        <v>599774.97263000009</v>
      </c>
      <c r="D73" s="294">
        <f>D74+D77+D78+D79+D81+D76+D80</f>
        <v>541720.83525000012</v>
      </c>
      <c r="E73" s="294">
        <f t="shared" si="0"/>
        <v>90.32068025022221</v>
      </c>
      <c r="F73" s="294">
        <f t="shared" si="1"/>
        <v>-58054.137379999971</v>
      </c>
      <c r="G73" s="94"/>
      <c r="H73" s="94"/>
    </row>
    <row r="74" spans="1:8" ht="21.75" customHeight="1">
      <c r="A74" s="16">
        <v>2021000000</v>
      </c>
      <c r="B74" s="259" t="s">
        <v>21</v>
      </c>
      <c r="C74" s="363">
        <v>22791.5</v>
      </c>
      <c r="D74" s="369">
        <v>21321.599999999999</v>
      </c>
      <c r="E74" s="295">
        <f t="shared" si="0"/>
        <v>93.550665818397206</v>
      </c>
      <c r="F74" s="295">
        <f t="shared" si="1"/>
        <v>-1469.9000000000015</v>
      </c>
    </row>
    <row r="75" spans="1:8" ht="32.25" hidden="1" customHeight="1">
      <c r="A75" s="16">
        <v>2020100905</v>
      </c>
      <c r="B75" s="262" t="s">
        <v>276</v>
      </c>
      <c r="C75" s="363">
        <v>0</v>
      </c>
      <c r="D75" s="369">
        <v>0</v>
      </c>
      <c r="E75" s="295" t="e">
        <f t="shared" si="0"/>
        <v>#DIV/0!</v>
      </c>
      <c r="F75" s="295">
        <f t="shared" si="1"/>
        <v>0</v>
      </c>
    </row>
    <row r="76" spans="1:8" ht="21.75" customHeight="1">
      <c r="A76" s="16">
        <v>2020100310</v>
      </c>
      <c r="B76" s="259" t="s">
        <v>232</v>
      </c>
      <c r="C76" s="363">
        <v>17580</v>
      </c>
      <c r="D76" s="369">
        <v>16603.400000000001</v>
      </c>
      <c r="E76" s="295">
        <f t="shared" si="0"/>
        <v>94.444823663253715</v>
      </c>
      <c r="F76" s="295">
        <f t="shared" si="1"/>
        <v>-976.59999999999854</v>
      </c>
    </row>
    <row r="77" spans="1:8" ht="23.25">
      <c r="A77" s="16">
        <v>2022000000</v>
      </c>
      <c r="B77" s="259" t="s">
        <v>22</v>
      </c>
      <c r="C77" s="363">
        <v>204639.46230000001</v>
      </c>
      <c r="D77" s="362">
        <v>186524.53885000001</v>
      </c>
      <c r="E77" s="295">
        <f t="shared" si="0"/>
        <v>91.147883577096351</v>
      </c>
      <c r="F77" s="295">
        <f t="shared" si="1"/>
        <v>-18114.923450000002</v>
      </c>
    </row>
    <row r="78" spans="1:8" ht="23.25">
      <c r="A78" s="16">
        <v>2023000000</v>
      </c>
      <c r="B78" s="259" t="s">
        <v>23</v>
      </c>
      <c r="C78" s="363">
        <v>333395.58033000003</v>
      </c>
      <c r="D78" s="370">
        <v>298261.51181</v>
      </c>
      <c r="E78" s="295">
        <f t="shared" si="0"/>
        <v>89.461747367729416</v>
      </c>
      <c r="F78" s="295">
        <f t="shared" si="1"/>
        <v>-35134.06852000003</v>
      </c>
    </row>
    <row r="79" spans="1:8" ht="19.5" customHeight="1">
      <c r="A79" s="16">
        <v>2024000000</v>
      </c>
      <c r="B79" s="262" t="s">
        <v>24</v>
      </c>
      <c r="C79" s="363">
        <v>21372.65</v>
      </c>
      <c r="D79" s="371">
        <v>19011.837</v>
      </c>
      <c r="E79" s="295">
        <f t="shared" si="0"/>
        <v>88.954046409780716</v>
      </c>
      <c r="F79" s="295">
        <f t="shared" si="1"/>
        <v>-2360.8130000000019</v>
      </c>
    </row>
    <row r="80" spans="1:8" ht="23.25">
      <c r="A80" s="16">
        <v>2180500005</v>
      </c>
      <c r="B80" s="262" t="s">
        <v>325</v>
      </c>
      <c r="C80" s="363">
        <v>0</v>
      </c>
      <c r="D80" s="371">
        <v>488.56979000000001</v>
      </c>
      <c r="E80" s="295" t="e">
        <f t="shared" si="0"/>
        <v>#DIV/0!</v>
      </c>
      <c r="F80" s="295">
        <f t="shared" si="1"/>
        <v>488.56979000000001</v>
      </c>
    </row>
    <row r="81" spans="1:8" ht="22.5" customHeight="1">
      <c r="A81" s="7">
        <v>2196001005</v>
      </c>
      <c r="B81" s="258" t="s">
        <v>26</v>
      </c>
      <c r="C81" s="362">
        <v>-4.22</v>
      </c>
      <c r="D81" s="362">
        <v>-490.62220000000002</v>
      </c>
      <c r="E81" s="295">
        <f t="shared" si="0"/>
        <v>11626.118483412323</v>
      </c>
      <c r="F81" s="295">
        <f>SUM(D81-C81)</f>
        <v>-486.40219999999999</v>
      </c>
    </row>
    <row r="82" spans="1:8" s="6" customFormat="1" ht="56.25" hidden="1">
      <c r="A82" s="3">
        <v>3000000000</v>
      </c>
      <c r="B82" s="257" t="s">
        <v>27</v>
      </c>
      <c r="C82" s="365">
        <v>0</v>
      </c>
      <c r="D82" s="372">
        <v>0</v>
      </c>
      <c r="E82" s="295" t="e">
        <f t="shared" si="0"/>
        <v>#DIV/0!</v>
      </c>
      <c r="F82" s="294">
        <f t="shared" si="1"/>
        <v>0</v>
      </c>
    </row>
    <row r="83" spans="1:8" s="6" customFormat="1" ht="22.5" customHeight="1">
      <c r="A83" s="3"/>
      <c r="B83" s="255" t="s">
        <v>28</v>
      </c>
      <c r="C83" s="373">
        <f>C72+C73</f>
        <v>756659.24963000009</v>
      </c>
      <c r="D83" s="373">
        <f>D72+D73</f>
        <v>678622.53323000018</v>
      </c>
      <c r="E83" s="295">
        <f>SUM(D83/C83*100)</f>
        <v>89.686676474495059</v>
      </c>
      <c r="F83" s="294">
        <f>SUM(D84-C83)</f>
        <v>-749387.76180999982</v>
      </c>
      <c r="G83" s="323"/>
      <c r="H83" s="94"/>
    </row>
    <row r="84" spans="1:8" s="6" customFormat="1" ht="22.5">
      <c r="A84" s="3"/>
      <c r="B84" s="264" t="s">
        <v>321</v>
      </c>
      <c r="C84" s="468">
        <f>C83-C143</f>
        <v>-9930.6300000000047</v>
      </c>
      <c r="D84" s="294">
        <f>D83-D143</f>
        <v>7271.4878200002713</v>
      </c>
      <c r="E84" s="296"/>
      <c r="F84" s="296"/>
      <c r="G84" s="94"/>
      <c r="H84" s="94"/>
    </row>
    <row r="85" spans="1:8" ht="23.25">
      <c r="A85" s="23"/>
      <c r="B85" s="24"/>
      <c r="C85" s="374"/>
      <c r="D85" s="374"/>
      <c r="E85" s="297"/>
      <c r="F85" s="297"/>
    </row>
    <row r="86" spans="1:8" ht="63">
      <c r="A86" s="28" t="s">
        <v>1</v>
      </c>
      <c r="B86" s="28" t="s">
        <v>29</v>
      </c>
      <c r="C86" s="298" t="s">
        <v>346</v>
      </c>
      <c r="D86" s="375" t="s">
        <v>419</v>
      </c>
      <c r="E86" s="298" t="s">
        <v>3</v>
      </c>
      <c r="F86" s="299" t="s">
        <v>4</v>
      </c>
    </row>
    <row r="87" spans="1:8" ht="22.5">
      <c r="A87" s="29">
        <v>1</v>
      </c>
      <c r="B87" s="28">
        <v>2</v>
      </c>
      <c r="C87" s="300">
        <v>3</v>
      </c>
      <c r="D87" s="300">
        <v>4</v>
      </c>
      <c r="E87" s="300">
        <v>5</v>
      </c>
      <c r="F87" s="300">
        <v>6</v>
      </c>
    </row>
    <row r="88" spans="1:8" s="6" customFormat="1" ht="22.5">
      <c r="A88" s="30" t="s">
        <v>30</v>
      </c>
      <c r="B88" s="265" t="s">
        <v>31</v>
      </c>
      <c r="C88" s="296">
        <f>SUM(C89:C95)</f>
        <v>42163.195589999996</v>
      </c>
      <c r="D88" s="296">
        <f>SUM(D89:D95)</f>
        <v>35302.803569999996</v>
      </c>
      <c r="E88" s="301">
        <f>SUM(D88/C88*100)</f>
        <v>83.728956204574061</v>
      </c>
      <c r="F88" s="301">
        <f>SUM(D88-C88)</f>
        <v>-6860.3920199999993</v>
      </c>
    </row>
    <row r="89" spans="1:8" s="6" customFormat="1" ht="37.5">
      <c r="A89" s="35" t="s">
        <v>32</v>
      </c>
      <c r="B89" s="266" t="s">
        <v>33</v>
      </c>
      <c r="C89" s="376">
        <v>50</v>
      </c>
      <c r="D89" s="376">
        <v>9.3183000000000007</v>
      </c>
      <c r="E89" s="301">
        <f>SUM(D89/C89*100)</f>
        <v>18.636600000000001</v>
      </c>
      <c r="F89" s="301">
        <f>SUM(D89-C89)</f>
        <v>-40.681699999999999</v>
      </c>
    </row>
    <row r="90" spans="1:8" ht="21.75" customHeight="1">
      <c r="A90" s="35" t="s">
        <v>34</v>
      </c>
      <c r="B90" s="267" t="s">
        <v>35</v>
      </c>
      <c r="C90" s="376">
        <v>22466.516</v>
      </c>
      <c r="D90" s="376">
        <v>19457.51153</v>
      </c>
      <c r="E90" s="302">
        <f t="shared" ref="E90:E143" si="5">SUM(D90/C90*100)</f>
        <v>86.606715211205866</v>
      </c>
      <c r="F90" s="302">
        <f t="shared" ref="F90:F143" si="6">SUM(D90-C90)</f>
        <v>-3009.0044699999999</v>
      </c>
    </row>
    <row r="91" spans="1:8" ht="19.5" customHeight="1">
      <c r="A91" s="35" t="s">
        <v>36</v>
      </c>
      <c r="B91" s="267" t="s">
        <v>37</v>
      </c>
      <c r="C91" s="376">
        <v>126.8</v>
      </c>
      <c r="D91" s="376">
        <v>42.25</v>
      </c>
      <c r="E91" s="302">
        <f t="shared" si="5"/>
        <v>33.320189274447948</v>
      </c>
      <c r="F91" s="302">
        <f t="shared" si="6"/>
        <v>-84.55</v>
      </c>
    </row>
    <row r="92" spans="1:8" ht="38.25" customHeight="1">
      <c r="A92" s="35" t="s">
        <v>38</v>
      </c>
      <c r="B92" s="267" t="s">
        <v>39</v>
      </c>
      <c r="C92" s="377">
        <v>5215.96</v>
      </c>
      <c r="D92" s="377">
        <v>4631.3207599999996</v>
      </c>
      <c r="E92" s="302">
        <f t="shared" si="5"/>
        <v>88.791339657512708</v>
      </c>
      <c r="F92" s="302">
        <f t="shared" si="6"/>
        <v>-584.63924000000043</v>
      </c>
    </row>
    <row r="93" spans="1:8" ht="18.75" customHeight="1">
      <c r="A93" s="35" t="s">
        <v>40</v>
      </c>
      <c r="B93" s="267" t="s">
        <v>41</v>
      </c>
      <c r="C93" s="376">
        <v>90.55</v>
      </c>
      <c r="D93" s="376">
        <v>90.55</v>
      </c>
      <c r="E93" s="302">
        <f t="shared" si="5"/>
        <v>100</v>
      </c>
      <c r="F93" s="302">
        <f t="shared" si="6"/>
        <v>0</v>
      </c>
    </row>
    <row r="94" spans="1:8" ht="24.75" customHeight="1">
      <c r="A94" s="35" t="s">
        <v>42</v>
      </c>
      <c r="B94" s="267" t="s">
        <v>43</v>
      </c>
      <c r="C94" s="377">
        <v>560.13350000000003</v>
      </c>
      <c r="D94" s="377">
        <v>0</v>
      </c>
      <c r="E94" s="302">
        <f t="shared" si="5"/>
        <v>0</v>
      </c>
      <c r="F94" s="302">
        <f t="shared" si="6"/>
        <v>-560.13350000000003</v>
      </c>
    </row>
    <row r="95" spans="1:8" ht="24" customHeight="1">
      <c r="A95" s="35" t="s">
        <v>44</v>
      </c>
      <c r="B95" s="267" t="s">
        <v>45</v>
      </c>
      <c r="C95" s="376">
        <v>13653.23609</v>
      </c>
      <c r="D95" s="376">
        <v>11071.85298</v>
      </c>
      <c r="E95" s="302">
        <f t="shared" si="5"/>
        <v>81.093250764991339</v>
      </c>
      <c r="F95" s="302">
        <f t="shared" si="6"/>
        <v>-2581.3831100000007</v>
      </c>
    </row>
    <row r="96" spans="1:8" s="6" customFormat="1" ht="22.5">
      <c r="A96" s="41" t="s">
        <v>46</v>
      </c>
      <c r="B96" s="268" t="s">
        <v>47</v>
      </c>
      <c r="C96" s="296">
        <f>C97</f>
        <v>2049</v>
      </c>
      <c r="D96" s="296">
        <f>D97</f>
        <v>2049</v>
      </c>
      <c r="E96" s="301">
        <f t="shared" si="5"/>
        <v>100</v>
      </c>
      <c r="F96" s="301">
        <f t="shared" si="6"/>
        <v>0</v>
      </c>
    </row>
    <row r="97" spans="1:7" ht="23.25">
      <c r="A97" s="43" t="s">
        <v>48</v>
      </c>
      <c r="B97" s="269" t="s">
        <v>49</v>
      </c>
      <c r="C97" s="376">
        <v>2049</v>
      </c>
      <c r="D97" s="376">
        <v>2049</v>
      </c>
      <c r="E97" s="302">
        <f t="shared" si="5"/>
        <v>100</v>
      </c>
      <c r="F97" s="302">
        <f t="shared" si="6"/>
        <v>0</v>
      </c>
    </row>
    <row r="98" spans="1:7" s="6" customFormat="1" ht="21" customHeight="1">
      <c r="A98" s="30" t="s">
        <v>50</v>
      </c>
      <c r="B98" s="265" t="s">
        <v>51</v>
      </c>
      <c r="C98" s="296">
        <f>SUM(C100:C103)</f>
        <v>4765.8330000000005</v>
      </c>
      <c r="D98" s="296">
        <f>SUM(D100:D103)</f>
        <v>4079.4438</v>
      </c>
      <c r="E98" s="301">
        <f t="shared" si="5"/>
        <v>85.597707683001062</v>
      </c>
      <c r="F98" s="301">
        <f t="shared" si="6"/>
        <v>-686.38920000000053</v>
      </c>
    </row>
    <row r="99" spans="1:7" ht="23.25" hidden="1">
      <c r="A99" s="35" t="s">
        <v>52</v>
      </c>
      <c r="B99" s="267" t="s">
        <v>53</v>
      </c>
      <c r="C99" s="376"/>
      <c r="D99" s="376"/>
      <c r="E99" s="302" t="e">
        <f t="shared" si="5"/>
        <v>#DIV/0!</v>
      </c>
      <c r="F99" s="302">
        <f t="shared" si="6"/>
        <v>0</v>
      </c>
    </row>
    <row r="100" spans="1:7" ht="23.25">
      <c r="A100" s="45" t="s">
        <v>54</v>
      </c>
      <c r="B100" s="267" t="s">
        <v>327</v>
      </c>
      <c r="C100" s="376">
        <v>1648.8</v>
      </c>
      <c r="D100" s="376">
        <v>1364.9759799999999</v>
      </c>
      <c r="E100" s="302">
        <f t="shared" si="5"/>
        <v>82.786024987869965</v>
      </c>
      <c r="F100" s="302">
        <f t="shared" si="6"/>
        <v>-283.82402000000002</v>
      </c>
    </row>
    <row r="101" spans="1:7" ht="36.75" customHeight="1">
      <c r="A101" s="46" t="s">
        <v>56</v>
      </c>
      <c r="B101" s="270" t="s">
        <v>57</v>
      </c>
      <c r="C101" s="376">
        <v>3022.9830000000002</v>
      </c>
      <c r="D101" s="376">
        <v>2621.1311300000002</v>
      </c>
      <c r="E101" s="302">
        <f t="shared" si="5"/>
        <v>86.706777047704207</v>
      </c>
      <c r="F101" s="302">
        <f t="shared" si="6"/>
        <v>-401.85186999999996</v>
      </c>
    </row>
    <row r="102" spans="1:7" ht="21" customHeight="1">
      <c r="A102" s="46" t="s">
        <v>219</v>
      </c>
      <c r="B102" s="270" t="s">
        <v>220</v>
      </c>
      <c r="C102" s="376">
        <v>0</v>
      </c>
      <c r="D102" s="376">
        <v>0</v>
      </c>
      <c r="E102" s="302" t="e">
        <f t="shared" si="5"/>
        <v>#DIV/0!</v>
      </c>
      <c r="F102" s="302">
        <f t="shared" si="6"/>
        <v>0</v>
      </c>
    </row>
    <row r="103" spans="1:7" ht="34.5" customHeight="1">
      <c r="A103" s="46" t="s">
        <v>360</v>
      </c>
      <c r="B103" s="270" t="s">
        <v>361</v>
      </c>
      <c r="C103" s="378">
        <v>94.05</v>
      </c>
      <c r="D103" s="376">
        <v>93.336690000000004</v>
      </c>
      <c r="E103" s="302">
        <f t="shared" si="5"/>
        <v>99.241562998405115</v>
      </c>
      <c r="F103" s="302">
        <f t="shared" si="6"/>
        <v>-0.71330999999999278</v>
      </c>
    </row>
    <row r="104" spans="1:7" s="6" customFormat="1" ht="25.5" customHeight="1">
      <c r="A104" s="30" t="s">
        <v>58</v>
      </c>
      <c r="B104" s="265" t="s">
        <v>59</v>
      </c>
      <c r="C104" s="379">
        <f>SUM(C106:C108)</f>
        <v>163752.19899999999</v>
      </c>
      <c r="D104" s="379">
        <f>SUM(D106:D108)</f>
        <v>151070.20478999999</v>
      </c>
      <c r="E104" s="301">
        <f t="shared" si="5"/>
        <v>92.255374714082464</v>
      </c>
      <c r="F104" s="301">
        <f t="shared" si="6"/>
        <v>-12681.994210000004</v>
      </c>
    </row>
    <row r="105" spans="1:7" ht="0.75" hidden="1" customHeight="1">
      <c r="A105" s="35" t="s">
        <v>60</v>
      </c>
      <c r="B105" s="267" t="s">
        <v>61</v>
      </c>
      <c r="C105" s="380">
        <v>0</v>
      </c>
      <c r="D105" s="376">
        <v>0</v>
      </c>
      <c r="E105" s="302" t="e">
        <f t="shared" si="5"/>
        <v>#DIV/0!</v>
      </c>
      <c r="F105" s="302">
        <f t="shared" si="6"/>
        <v>0</v>
      </c>
    </row>
    <row r="106" spans="1:7" s="6" customFormat="1" ht="20.25" customHeight="1">
      <c r="A106" s="35" t="s">
        <v>60</v>
      </c>
      <c r="B106" s="267" t="s">
        <v>324</v>
      </c>
      <c r="C106" s="380">
        <v>112.1</v>
      </c>
      <c r="D106" s="376">
        <v>37.658000000000001</v>
      </c>
      <c r="E106" s="302">
        <f t="shared" si="5"/>
        <v>33.593220338983052</v>
      </c>
      <c r="F106" s="302">
        <f t="shared" si="6"/>
        <v>-74.441999999999993</v>
      </c>
      <c r="G106" s="50"/>
    </row>
    <row r="107" spans="1:7" ht="26.25" customHeight="1">
      <c r="A107" s="35" t="s">
        <v>64</v>
      </c>
      <c r="B107" s="267" t="s">
        <v>65</v>
      </c>
      <c r="C107" s="380">
        <v>162260.69899999999</v>
      </c>
      <c r="D107" s="376">
        <v>149809.45759000001</v>
      </c>
      <c r="E107" s="302">
        <f t="shared" si="5"/>
        <v>92.326397281204862</v>
      </c>
      <c r="F107" s="302">
        <f t="shared" si="6"/>
        <v>-12451.241409999988</v>
      </c>
    </row>
    <row r="108" spans="1:7" ht="38.25">
      <c r="A108" s="35" t="s">
        <v>66</v>
      </c>
      <c r="B108" s="267" t="s">
        <v>67</v>
      </c>
      <c r="C108" s="380">
        <v>1379.4</v>
      </c>
      <c r="D108" s="376">
        <v>1223.0891999999999</v>
      </c>
      <c r="E108" s="302">
        <f t="shared" si="5"/>
        <v>88.668203566768142</v>
      </c>
      <c r="F108" s="302">
        <f t="shared" si="6"/>
        <v>-156.3108000000002</v>
      </c>
    </row>
    <row r="109" spans="1:7" s="6" customFormat="1" ht="37.5">
      <c r="A109" s="30" t="s">
        <v>68</v>
      </c>
      <c r="B109" s="265" t="s">
        <v>69</v>
      </c>
      <c r="C109" s="296">
        <f>SUM(C110:C112)</f>
        <v>8536.5670599999994</v>
      </c>
      <c r="D109" s="296">
        <f>SUM(D110:D112)</f>
        <v>6219.5426500000003</v>
      </c>
      <c r="E109" s="301">
        <f t="shared" si="5"/>
        <v>72.857655850242935</v>
      </c>
      <c r="F109" s="301">
        <f t="shared" si="6"/>
        <v>-2317.0244099999991</v>
      </c>
    </row>
    <row r="110" spans="1:7" ht="23.25">
      <c r="A110" s="35" t="s">
        <v>70</v>
      </c>
      <c r="B110" s="271" t="s">
        <v>71</v>
      </c>
      <c r="C110" s="376">
        <v>1021.05</v>
      </c>
      <c r="D110" s="376">
        <v>804.28454999999997</v>
      </c>
      <c r="E110" s="302">
        <f t="shared" si="5"/>
        <v>78.770339356544739</v>
      </c>
      <c r="F110" s="302">
        <f t="shared" si="6"/>
        <v>-216.76544999999999</v>
      </c>
    </row>
    <row r="111" spans="1:7" ht="23.25" customHeight="1">
      <c r="A111" s="35" t="s">
        <v>72</v>
      </c>
      <c r="B111" s="271" t="s">
        <v>73</v>
      </c>
      <c r="C111" s="376">
        <v>7515.5170600000001</v>
      </c>
      <c r="D111" s="376">
        <v>5415.2581</v>
      </c>
      <c r="E111" s="302">
        <f t="shared" si="5"/>
        <v>72.054365079173948</v>
      </c>
      <c r="F111" s="302">
        <f t="shared" si="6"/>
        <v>-2100.2589600000001</v>
      </c>
    </row>
    <row r="112" spans="1:7" ht="19.5" customHeight="1">
      <c r="A112" s="35" t="s">
        <v>74</v>
      </c>
      <c r="B112" s="267" t="s">
        <v>75</v>
      </c>
      <c r="C112" s="376">
        <v>0</v>
      </c>
      <c r="D112" s="376">
        <v>0</v>
      </c>
      <c r="E112" s="302" t="e">
        <f t="shared" si="5"/>
        <v>#DIV/0!</v>
      </c>
      <c r="F112" s="302">
        <f t="shared" si="6"/>
        <v>0</v>
      </c>
    </row>
    <row r="113" spans="1:7" s="6" customFormat="1" ht="22.5">
      <c r="A113" s="30" t="s">
        <v>76</v>
      </c>
      <c r="B113" s="272" t="s">
        <v>77</v>
      </c>
      <c r="C113" s="379">
        <f>SUM(C114)</f>
        <v>51</v>
      </c>
      <c r="D113" s="379">
        <f>SUM(D114)</f>
        <v>51</v>
      </c>
      <c r="E113" s="301">
        <f t="shared" si="5"/>
        <v>100</v>
      </c>
      <c r="F113" s="301">
        <f t="shared" si="6"/>
        <v>0</v>
      </c>
    </row>
    <row r="114" spans="1:7" ht="38.25">
      <c r="A114" s="35" t="s">
        <v>78</v>
      </c>
      <c r="B114" s="271" t="s">
        <v>79</v>
      </c>
      <c r="C114" s="302">
        <v>51</v>
      </c>
      <c r="D114" s="377">
        <v>51</v>
      </c>
      <c r="E114" s="302">
        <f t="shared" si="5"/>
        <v>100</v>
      </c>
      <c r="F114" s="302">
        <f t="shared" si="6"/>
        <v>0</v>
      </c>
    </row>
    <row r="115" spans="1:7" s="6" customFormat="1" ht="22.5">
      <c r="A115" s="30" t="s">
        <v>80</v>
      </c>
      <c r="B115" s="272" t="s">
        <v>81</v>
      </c>
      <c r="C115" s="379">
        <f>SUM(C116:C120)</f>
        <v>421778.45872</v>
      </c>
      <c r="D115" s="379">
        <f>D116+D117+D119+D120+D118</f>
        <v>370294.91442000004</v>
      </c>
      <c r="E115" s="301">
        <f t="shared" si="5"/>
        <v>87.793699930470467</v>
      </c>
      <c r="F115" s="301">
        <f t="shared" si="6"/>
        <v>-51483.54429999995</v>
      </c>
    </row>
    <row r="116" spans="1:7" ht="23.25">
      <c r="A116" s="35" t="s">
        <v>82</v>
      </c>
      <c r="B116" s="271" t="s">
        <v>258</v>
      </c>
      <c r="C116" s="380">
        <v>97743.646959999998</v>
      </c>
      <c r="D116" s="376">
        <v>85884.28198</v>
      </c>
      <c r="E116" s="302">
        <f t="shared" si="5"/>
        <v>87.866868744059389</v>
      </c>
      <c r="F116" s="302">
        <f t="shared" si="6"/>
        <v>-11859.364979999998</v>
      </c>
    </row>
    <row r="117" spans="1:7" ht="23.25">
      <c r="A117" s="35" t="s">
        <v>83</v>
      </c>
      <c r="B117" s="271" t="s">
        <v>259</v>
      </c>
      <c r="C117" s="380">
        <v>293345.66593000002</v>
      </c>
      <c r="D117" s="376">
        <v>256335.00930000001</v>
      </c>
      <c r="E117" s="302">
        <f t="shared" si="5"/>
        <v>87.383261139153248</v>
      </c>
      <c r="F117" s="302">
        <f t="shared" si="6"/>
        <v>-37010.656630000012</v>
      </c>
    </row>
    <row r="118" spans="1:7" ht="23.25">
      <c r="A118" s="35" t="s">
        <v>335</v>
      </c>
      <c r="B118" s="271" t="s">
        <v>336</v>
      </c>
      <c r="C118" s="380">
        <v>18536.2</v>
      </c>
      <c r="D118" s="376">
        <v>16539.766</v>
      </c>
      <c r="E118" s="302">
        <f t="shared" si="5"/>
        <v>89.229540035174409</v>
      </c>
      <c r="F118" s="302">
        <f t="shared" si="6"/>
        <v>-1996.4340000000011</v>
      </c>
    </row>
    <row r="119" spans="1:7" ht="23.25">
      <c r="A119" s="35" t="s">
        <v>84</v>
      </c>
      <c r="B119" s="271" t="s">
        <v>260</v>
      </c>
      <c r="C119" s="380">
        <v>5311.2978000000003</v>
      </c>
      <c r="D119" s="376">
        <v>5199.35934</v>
      </c>
      <c r="E119" s="302">
        <f t="shared" si="5"/>
        <v>97.892446173889923</v>
      </c>
      <c r="F119" s="302">
        <f t="shared" si="6"/>
        <v>-111.9384600000003</v>
      </c>
    </row>
    <row r="120" spans="1:7" ht="23.25">
      <c r="A120" s="35" t="s">
        <v>85</v>
      </c>
      <c r="B120" s="271" t="s">
        <v>261</v>
      </c>
      <c r="C120" s="380">
        <v>6841.6480300000003</v>
      </c>
      <c r="D120" s="376">
        <v>6336.4978000000001</v>
      </c>
      <c r="E120" s="302">
        <f t="shared" si="5"/>
        <v>92.616541690175197</v>
      </c>
      <c r="F120" s="302">
        <f t="shared" si="6"/>
        <v>-505.15023000000019</v>
      </c>
    </row>
    <row r="121" spans="1:7" s="6" customFormat="1" ht="22.5">
      <c r="A121" s="30" t="s">
        <v>86</v>
      </c>
      <c r="B121" s="265" t="s">
        <v>87</v>
      </c>
      <c r="C121" s="296">
        <f>SUM(C122:C123)</f>
        <v>49786.725420000002</v>
      </c>
      <c r="D121" s="296">
        <f>SUM(D122:D123)</f>
        <v>43181.739169999993</v>
      </c>
      <c r="E121" s="301">
        <f t="shared" si="5"/>
        <v>86.733439095902668</v>
      </c>
      <c r="F121" s="301">
        <f t="shared" si="6"/>
        <v>-6604.986250000009</v>
      </c>
    </row>
    <row r="122" spans="1:7" ht="23.25">
      <c r="A122" s="35" t="s">
        <v>88</v>
      </c>
      <c r="B122" s="267" t="s">
        <v>234</v>
      </c>
      <c r="C122" s="376">
        <v>48706.725420000002</v>
      </c>
      <c r="D122" s="376">
        <v>42349.115769999997</v>
      </c>
      <c r="E122" s="302">
        <f t="shared" si="5"/>
        <v>86.947162645039072</v>
      </c>
      <c r="F122" s="302">
        <f t="shared" si="6"/>
        <v>-6357.6096500000058</v>
      </c>
    </row>
    <row r="123" spans="1:7" ht="38.25">
      <c r="A123" s="35" t="s">
        <v>273</v>
      </c>
      <c r="B123" s="267" t="s">
        <v>274</v>
      </c>
      <c r="C123" s="376">
        <v>1080</v>
      </c>
      <c r="D123" s="376">
        <v>832.62339999999995</v>
      </c>
      <c r="E123" s="302">
        <f t="shared" si="5"/>
        <v>77.094759259259249</v>
      </c>
      <c r="F123" s="302">
        <f t="shared" si="6"/>
        <v>-247.37660000000005</v>
      </c>
    </row>
    <row r="124" spans="1:7" s="6" customFormat="1" ht="22.5">
      <c r="A124" s="52">
        <v>1000</v>
      </c>
      <c r="B124" s="265" t="s">
        <v>89</v>
      </c>
      <c r="C124" s="296">
        <f>SUM(C125:C128)</f>
        <v>29781.25604</v>
      </c>
      <c r="D124" s="424">
        <f>D125+D126+D127+D128</f>
        <v>20461.633109999999</v>
      </c>
      <c r="E124" s="301">
        <f t="shared" si="5"/>
        <v>68.706414136856537</v>
      </c>
      <c r="F124" s="301">
        <f t="shared" si="6"/>
        <v>-9319.6229300000014</v>
      </c>
      <c r="G124" s="94"/>
    </row>
    <row r="125" spans="1:7" ht="23.25">
      <c r="A125" s="53">
        <v>1001</v>
      </c>
      <c r="B125" s="273" t="s">
        <v>90</v>
      </c>
      <c r="C125" s="376">
        <v>49.686999999999998</v>
      </c>
      <c r="D125" s="376">
        <v>39.758629999999997</v>
      </c>
      <c r="E125" s="302">
        <f t="shared" si="5"/>
        <v>80.018173767786337</v>
      </c>
      <c r="F125" s="302">
        <f t="shared" si="6"/>
        <v>-9.928370000000001</v>
      </c>
    </row>
    <row r="126" spans="1:7" ht="23.25">
      <c r="A126" s="53">
        <v>1003</v>
      </c>
      <c r="B126" s="273" t="s">
        <v>91</v>
      </c>
      <c r="C126" s="376">
        <v>24637.743709999999</v>
      </c>
      <c r="D126" s="376">
        <v>18641.901119999999</v>
      </c>
      <c r="E126" s="302">
        <f t="shared" si="5"/>
        <v>75.663994801738284</v>
      </c>
      <c r="F126" s="302">
        <f t="shared" si="6"/>
        <v>-5995.8425900000002</v>
      </c>
    </row>
    <row r="127" spans="1:7" ht="23.25">
      <c r="A127" s="53">
        <v>1004</v>
      </c>
      <c r="B127" s="273" t="s">
        <v>92</v>
      </c>
      <c r="C127" s="376">
        <v>4717.3303299999998</v>
      </c>
      <c r="D127" s="425">
        <v>1680.8363099999999</v>
      </c>
      <c r="E127" s="302">
        <f t="shared" si="5"/>
        <v>35.631092003684209</v>
      </c>
      <c r="F127" s="302">
        <f t="shared" si="6"/>
        <v>-3036.4940200000001</v>
      </c>
    </row>
    <row r="128" spans="1:7" ht="24.75" customHeight="1">
      <c r="A128" s="35" t="s">
        <v>93</v>
      </c>
      <c r="B128" s="267" t="s">
        <v>94</v>
      </c>
      <c r="C128" s="376">
        <v>376.495</v>
      </c>
      <c r="D128" s="376">
        <v>99.137050000000002</v>
      </c>
      <c r="E128" s="302">
        <f t="shared" si="5"/>
        <v>26.331571468412594</v>
      </c>
      <c r="F128" s="302">
        <f t="shared" si="6"/>
        <v>-277.35795000000002</v>
      </c>
    </row>
    <row r="129" spans="1:7" ht="23.25">
      <c r="A129" s="30" t="s">
        <v>95</v>
      </c>
      <c r="B129" s="265" t="s">
        <v>96</v>
      </c>
      <c r="C129" s="296">
        <f>C130+C131</f>
        <v>6023.5628100000004</v>
      </c>
      <c r="D129" s="296">
        <f>D130+D131</f>
        <v>5634.7344600000006</v>
      </c>
      <c r="E129" s="302">
        <f t="shared" si="5"/>
        <v>93.544877636961175</v>
      </c>
      <c r="F129" s="296">
        <f>F130+F131+F132+F133+F134</f>
        <v>-388.82835</v>
      </c>
    </row>
    <row r="130" spans="1:7" ht="23.25">
      <c r="A130" s="35" t="s">
        <v>97</v>
      </c>
      <c r="B130" s="267" t="s">
        <v>98</v>
      </c>
      <c r="C130" s="376">
        <v>400</v>
      </c>
      <c r="D130" s="376">
        <v>361.17165</v>
      </c>
      <c r="E130" s="302">
        <f t="shared" si="5"/>
        <v>90.2929125</v>
      </c>
      <c r="F130" s="302">
        <f t="shared" ref="F130:F138" si="7">SUM(D130-C130)</f>
        <v>-38.82835</v>
      </c>
    </row>
    <row r="131" spans="1:7" ht="20.25" customHeight="1">
      <c r="A131" s="35" t="s">
        <v>99</v>
      </c>
      <c r="B131" s="267" t="s">
        <v>100</v>
      </c>
      <c r="C131" s="376">
        <v>5623.5628100000004</v>
      </c>
      <c r="D131" s="376">
        <v>5273.5628100000004</v>
      </c>
      <c r="E131" s="302">
        <f t="shared" si="5"/>
        <v>93.776187590941134</v>
      </c>
      <c r="F131" s="302">
        <f t="shared" si="7"/>
        <v>-350</v>
      </c>
    </row>
    <row r="132" spans="1:7" ht="15.75" hidden="1" customHeight="1">
      <c r="A132" s="35" t="s">
        <v>101</v>
      </c>
      <c r="B132" s="267" t="s">
        <v>102</v>
      </c>
      <c r="C132" s="376">
        <f>SUM(C122:C123)</f>
        <v>49786.725420000002</v>
      </c>
      <c r="D132" s="376"/>
      <c r="E132" s="302">
        <f t="shared" si="5"/>
        <v>0</v>
      </c>
      <c r="F132" s="302"/>
    </row>
    <row r="133" spans="1:7" ht="15.75" hidden="1" customHeight="1">
      <c r="A133" s="35" t="s">
        <v>103</v>
      </c>
      <c r="B133" s="267" t="s">
        <v>104</v>
      </c>
      <c r="C133" s="376"/>
      <c r="D133" s="376"/>
      <c r="E133" s="302" t="e">
        <f t="shared" si="5"/>
        <v>#DIV/0!</v>
      </c>
      <c r="F133" s="302"/>
    </row>
    <row r="134" spans="1:7" ht="15.75" hidden="1" customHeight="1">
      <c r="A134" s="35" t="s">
        <v>105</v>
      </c>
      <c r="B134" s="267" t="s">
        <v>106</v>
      </c>
      <c r="C134" s="376"/>
      <c r="D134" s="376"/>
      <c r="E134" s="302" t="e">
        <f t="shared" si="5"/>
        <v>#DIV/0!</v>
      </c>
      <c r="F134" s="302"/>
    </row>
    <row r="135" spans="1:7" ht="20.25" customHeight="1">
      <c r="A135" s="30" t="s">
        <v>107</v>
      </c>
      <c r="B135" s="265" t="s">
        <v>108</v>
      </c>
      <c r="C135" s="296">
        <f>C136</f>
        <v>80</v>
      </c>
      <c r="D135" s="426">
        <f>D136</f>
        <v>3.09</v>
      </c>
      <c r="E135" s="302">
        <f>SUM(D135/C135*100)</f>
        <v>3.8624999999999998</v>
      </c>
      <c r="F135" s="302">
        <f t="shared" si="7"/>
        <v>-76.91</v>
      </c>
    </row>
    <row r="136" spans="1:7" ht="22.5" customHeight="1">
      <c r="A136" s="35" t="s">
        <v>109</v>
      </c>
      <c r="B136" s="267" t="s">
        <v>110</v>
      </c>
      <c r="C136" s="376">
        <v>80</v>
      </c>
      <c r="D136" s="376">
        <v>3.09</v>
      </c>
      <c r="E136" s="302">
        <f t="shared" si="5"/>
        <v>3.8624999999999998</v>
      </c>
      <c r="F136" s="302">
        <f t="shared" si="7"/>
        <v>-76.91</v>
      </c>
    </row>
    <row r="137" spans="1:7" ht="19.5" customHeight="1">
      <c r="A137" s="30" t="s">
        <v>111</v>
      </c>
      <c r="B137" s="268" t="s">
        <v>112</v>
      </c>
      <c r="C137" s="381">
        <f>C138</f>
        <v>0</v>
      </c>
      <c r="D137" s="381">
        <v>0</v>
      </c>
      <c r="E137" s="302" t="e">
        <f t="shared" si="5"/>
        <v>#DIV/0!</v>
      </c>
      <c r="F137" s="301">
        <f t="shared" si="7"/>
        <v>0</v>
      </c>
    </row>
    <row r="138" spans="1:7" ht="37.5" customHeight="1">
      <c r="A138" s="35" t="s">
        <v>113</v>
      </c>
      <c r="B138" s="269" t="s">
        <v>114</v>
      </c>
      <c r="C138" s="377">
        <v>0</v>
      </c>
      <c r="D138" s="377">
        <v>0</v>
      </c>
      <c r="E138" s="301"/>
      <c r="F138" s="302">
        <f t="shared" si="7"/>
        <v>0</v>
      </c>
    </row>
    <row r="139" spans="1:7" s="6" customFormat="1" ht="19.5" customHeight="1">
      <c r="A139" s="52">
        <v>1400</v>
      </c>
      <c r="B139" s="274" t="s">
        <v>115</v>
      </c>
      <c r="C139" s="379">
        <f>C140+C141+C142</f>
        <v>37822.081989999999</v>
      </c>
      <c r="D139" s="379">
        <f>D140+D141+D142</f>
        <v>33002.939440000002</v>
      </c>
      <c r="E139" s="301">
        <f t="shared" si="5"/>
        <v>87.258389024501199</v>
      </c>
      <c r="F139" s="301">
        <f t="shared" si="6"/>
        <v>-4819.1425499999968</v>
      </c>
    </row>
    <row r="140" spans="1:7" ht="40.5" customHeight="1">
      <c r="A140" s="53">
        <v>1401</v>
      </c>
      <c r="B140" s="273" t="s">
        <v>116</v>
      </c>
      <c r="C140" s="380">
        <v>28169.9</v>
      </c>
      <c r="D140" s="376">
        <v>26633.200000000001</v>
      </c>
      <c r="E140" s="302">
        <f t="shared" si="5"/>
        <v>94.544886563317576</v>
      </c>
      <c r="F140" s="302">
        <f t="shared" si="6"/>
        <v>-1536.7000000000007</v>
      </c>
    </row>
    <row r="141" spans="1:7" ht="24.75" customHeight="1">
      <c r="A141" s="53">
        <v>1402</v>
      </c>
      <c r="B141" s="273" t="s">
        <v>117</v>
      </c>
      <c r="C141" s="380">
        <v>7305.6760999999997</v>
      </c>
      <c r="D141" s="376">
        <v>5293.3684000000003</v>
      </c>
      <c r="E141" s="302">
        <f t="shared" si="5"/>
        <v>72.455558219998295</v>
      </c>
      <c r="F141" s="302">
        <f t="shared" si="6"/>
        <v>-2012.3076999999994</v>
      </c>
    </row>
    <row r="142" spans="1:7" ht="27" customHeight="1">
      <c r="A142" s="53">
        <v>1403</v>
      </c>
      <c r="B142" s="273" t="s">
        <v>118</v>
      </c>
      <c r="C142" s="380">
        <v>2346.5058899999999</v>
      </c>
      <c r="D142" s="376">
        <v>1076.37104</v>
      </c>
      <c r="E142" s="302">
        <f t="shared" si="5"/>
        <v>45.87122685637069</v>
      </c>
      <c r="F142" s="302">
        <f t="shared" si="6"/>
        <v>-1270.1348499999999</v>
      </c>
    </row>
    <row r="143" spans="1:7" s="6" customFormat="1" ht="22.5">
      <c r="A143" s="52"/>
      <c r="B143" s="275" t="s">
        <v>119</v>
      </c>
      <c r="C143" s="373">
        <f>C88+C96+C98+C104+C109+C113+C115+C121+C124+C129+C135+C137+C139</f>
        <v>766589.8796300001</v>
      </c>
      <c r="D143" s="373">
        <f>D88+D96+D98+D104+D109+D113+D115+D121+D124+D129+D135+D137+D139</f>
        <v>671351.0454099999</v>
      </c>
      <c r="E143" s="301">
        <f t="shared" si="5"/>
        <v>87.576299041937801</v>
      </c>
      <c r="F143" s="301">
        <f t="shared" si="6"/>
        <v>-95238.834220000193</v>
      </c>
      <c r="G143" s="94"/>
    </row>
    <row r="144" spans="1:7">
      <c r="C144" s="382"/>
      <c r="D144" s="383"/>
    </row>
    <row r="145" spans="1:4" s="65" customFormat="1" ht="12.75">
      <c r="A145" s="63" t="s">
        <v>120</v>
      </c>
      <c r="B145" s="63"/>
      <c r="C145" s="134"/>
      <c r="D145" s="134"/>
    </row>
    <row r="146" spans="1:4" s="65" customFormat="1" ht="12.75">
      <c r="A146" s="66" t="s">
        <v>121</v>
      </c>
      <c r="B146" s="66"/>
      <c r="C146" s="134" t="s">
        <v>122</v>
      </c>
      <c r="D146" s="134"/>
    </row>
  </sheetData>
  <customSheetViews>
    <customSheetView guid="{AEB392BF-DA26-444D-A19F-E51C57137A4D}" scale="67" showPageBreaks="1" hiddenRows="1" view="pageBreakPreview" topLeftCell="A34">
      <selection activeCell="F121" sqref="F12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"/>
      <headerFooter alignWithMargins="0"/>
    </customSheetView>
    <customSheetView guid="{B30CE22D-C12F-4E12-8BB9-3AAE0A6991CC}" scale="60" showPageBreaks="1" hiddenRows="1" view="pageBreakPreview" topLeftCell="A74">
      <selection activeCell="D95" sqref="D9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4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6"/>
      <headerFooter alignWithMargins="0"/>
    </customSheetView>
    <customSheetView guid="{5BFCA170-DEAE-4D2C-98A0-1E68B427AC01}" scale="67" showPageBreaks="1" hiddenRows="1" view="pageBreakPreview" topLeftCell="A34">
      <selection activeCell="F121" sqref="F12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7" orientation="portrait" r:id="rId8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zoomScaleNormal="100" zoomScaleSheetLayoutView="70" workbookViewId="0">
      <selection activeCell="C27" sqref="C27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13" t="s">
        <v>420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546.89</v>
      </c>
      <c r="D4" s="5">
        <f>D5+D12+D14+D17+D20+D7</f>
        <v>491.24802</v>
      </c>
      <c r="E4" s="5">
        <f>SUM(D4/C4*100)</f>
        <v>89.825745579549817</v>
      </c>
      <c r="F4" s="5">
        <f>SUM(D4-C4)</f>
        <v>-55.64197999999999</v>
      </c>
    </row>
    <row r="5" spans="1:6" s="6" customFormat="1">
      <c r="A5" s="68">
        <v>1010000000</v>
      </c>
      <c r="B5" s="67" t="s">
        <v>6</v>
      </c>
      <c r="C5" s="5">
        <f>C6</f>
        <v>69</v>
      </c>
      <c r="D5" s="5">
        <f>D6</f>
        <v>63.608339999999998</v>
      </c>
      <c r="E5" s="5">
        <f t="shared" ref="E5:E47" si="0">SUM(D5/C5*100)</f>
        <v>92.186000000000007</v>
      </c>
      <c r="F5" s="5">
        <f t="shared" ref="F5:F47" si="1">SUM(D5-C5)</f>
        <v>-5.3916600000000017</v>
      </c>
    </row>
    <row r="6" spans="1:6">
      <c r="A6" s="7">
        <v>1010200001</v>
      </c>
      <c r="B6" s="8" t="s">
        <v>229</v>
      </c>
      <c r="C6" s="9">
        <v>69</v>
      </c>
      <c r="D6" s="10">
        <v>63.608339999999998</v>
      </c>
      <c r="E6" s="9">
        <f t="shared" ref="E6:E11" si="2">SUM(D6/C6*100)</f>
        <v>92.186000000000007</v>
      </c>
      <c r="F6" s="9">
        <f t="shared" si="1"/>
        <v>-5.3916600000000017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212.89887999999999</v>
      </c>
      <c r="E7" s="9">
        <f t="shared" si="2"/>
        <v>96.82062849606622</v>
      </c>
      <c r="F7" s="9">
        <f t="shared" si="1"/>
        <v>-6.9911199999999951</v>
      </c>
    </row>
    <row r="8" spans="1:6">
      <c r="A8" s="7">
        <v>1030223001</v>
      </c>
      <c r="B8" s="8" t="s">
        <v>283</v>
      </c>
      <c r="C8" s="9">
        <v>82.02</v>
      </c>
      <c r="D8" s="10">
        <v>94.643519999999995</v>
      </c>
      <c r="E8" s="9">
        <f t="shared" si="2"/>
        <v>115.39078273591808</v>
      </c>
      <c r="F8" s="9">
        <f t="shared" si="1"/>
        <v>12.623519999999999</v>
      </c>
    </row>
    <row r="9" spans="1:6">
      <c r="A9" s="7">
        <v>1030224001</v>
      </c>
      <c r="B9" s="8" t="s">
        <v>287</v>
      </c>
      <c r="C9" s="9">
        <v>0.88</v>
      </c>
      <c r="D9" s="10">
        <v>0.89832999999999996</v>
      </c>
      <c r="E9" s="9">
        <f t="shared" si="2"/>
        <v>102.08295454545453</v>
      </c>
      <c r="F9" s="9">
        <f t="shared" si="1"/>
        <v>1.8329999999999957E-2</v>
      </c>
    </row>
    <row r="10" spans="1:6">
      <c r="A10" s="7">
        <v>1030225001</v>
      </c>
      <c r="B10" s="8" t="s">
        <v>282</v>
      </c>
      <c r="C10" s="9">
        <v>136.99</v>
      </c>
      <c r="D10" s="10">
        <v>138.47208000000001</v>
      </c>
      <c r="E10" s="9">
        <f t="shared" si="2"/>
        <v>101.08188918899191</v>
      </c>
      <c r="F10" s="9">
        <f t="shared" si="1"/>
        <v>1.4820799999999963</v>
      </c>
    </row>
    <row r="11" spans="1:6">
      <c r="A11" s="7">
        <v>1030226001</v>
      </c>
      <c r="B11" s="8" t="s">
        <v>288</v>
      </c>
      <c r="C11" s="9">
        <v>0</v>
      </c>
      <c r="D11" s="10">
        <v>-21.11505</v>
      </c>
      <c r="E11" s="9" t="e">
        <f t="shared" si="2"/>
        <v>#DIV/0!</v>
      </c>
      <c r="F11" s="9">
        <f t="shared" si="1"/>
        <v>-21.11505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210.14080000000001</v>
      </c>
      <c r="E14" s="5">
        <f t="shared" si="0"/>
        <v>84.056319999999999</v>
      </c>
      <c r="F14" s="5">
        <f t="shared" si="1"/>
        <v>-39.859199999999987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29.962489999999999</v>
      </c>
      <c r="E15" s="9">
        <f t="shared" si="0"/>
        <v>74.906224999999992</v>
      </c>
      <c r="F15" s="9">
        <f>SUM(D15-C15)</f>
        <v>-10.037510000000001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180.17831000000001</v>
      </c>
      <c r="E16" s="9">
        <f t="shared" si="0"/>
        <v>85.799195238095237</v>
      </c>
      <c r="F16" s="9">
        <f t="shared" si="1"/>
        <v>-29.82168999999999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4.5999999999999996</v>
      </c>
      <c r="E17" s="9">
        <f t="shared" si="0"/>
        <v>153.33333333333331</v>
      </c>
      <c r="F17" s="5">
        <f t="shared" si="1"/>
        <v>1.5999999999999996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4.5999999999999996</v>
      </c>
      <c r="E18" s="9">
        <f t="shared" si="0"/>
        <v>153.33333333333331</v>
      </c>
      <c r="F18" s="9">
        <f t="shared" si="1"/>
        <v>1.5999999999999996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0</v>
      </c>
      <c r="E25" s="5">
        <f t="shared" si="0"/>
        <v>0</v>
      </c>
      <c r="F25" s="5">
        <f t="shared" si="1"/>
        <v>-56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92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602.89</v>
      </c>
      <c r="D37" s="127">
        <f>SUM(D4,D25)</f>
        <v>491.24802</v>
      </c>
      <c r="E37" s="5">
        <f t="shared" si="0"/>
        <v>81.482197415780661</v>
      </c>
      <c r="F37" s="5">
        <f t="shared" si="1"/>
        <v>-111.64197999999999</v>
      </c>
    </row>
    <row r="38" spans="1:11" s="6" customFormat="1">
      <c r="A38" s="3">
        <v>2000000000</v>
      </c>
      <c r="B38" s="4" t="s">
        <v>20</v>
      </c>
      <c r="C38" s="280">
        <f>C39+C40+C41+C42+C43+C44</f>
        <v>2897.0030000000002</v>
      </c>
      <c r="D38" s="280">
        <f>D39+D40+D41+D42+D43+D45</f>
        <v>2616.3331800000001</v>
      </c>
      <c r="E38" s="5">
        <f t="shared" si="0"/>
        <v>90.31171800650533</v>
      </c>
      <c r="F38" s="5">
        <f t="shared" si="1"/>
        <v>-280.66982000000007</v>
      </c>
      <c r="G38" s="19"/>
    </row>
    <row r="39" spans="1:11">
      <c r="A39" s="16">
        <v>2021000000</v>
      </c>
      <c r="B39" s="17" t="s">
        <v>21</v>
      </c>
      <c r="C39" s="334">
        <v>1200.0540000000001</v>
      </c>
      <c r="D39" s="20">
        <v>1131.0150000000001</v>
      </c>
      <c r="E39" s="9">
        <f t="shared" si="0"/>
        <v>94.247008884600191</v>
      </c>
      <c r="F39" s="9">
        <f t="shared" si="1"/>
        <v>-69.038999999999987</v>
      </c>
    </row>
    <row r="40" spans="1:11">
      <c r="A40" s="16">
        <v>2021500200</v>
      </c>
      <c r="B40" s="17" t="s">
        <v>232</v>
      </c>
      <c r="C40" s="331">
        <v>816.60500000000002</v>
      </c>
      <c r="D40" s="20">
        <v>745</v>
      </c>
      <c r="E40" s="9">
        <f>SUM(D40/C40*100)</f>
        <v>91.23137869594234</v>
      </c>
      <c r="F40" s="9">
        <f>SUM(D40-C40)</f>
        <v>-71.605000000000018</v>
      </c>
    </row>
    <row r="41" spans="1:11">
      <c r="A41" s="16">
        <v>2022000000</v>
      </c>
      <c r="B41" s="17" t="s">
        <v>22</v>
      </c>
      <c r="C41" s="331">
        <v>652.58699999999999</v>
      </c>
      <c r="D41" s="10">
        <v>442.00099999999998</v>
      </c>
      <c r="E41" s="9">
        <f t="shared" si="0"/>
        <v>67.730586113422419</v>
      </c>
      <c r="F41" s="9">
        <f t="shared" si="1"/>
        <v>-210.58600000000001</v>
      </c>
    </row>
    <row r="42" spans="1:11" ht="19.5" customHeight="1">
      <c r="A42" s="16">
        <v>2023000000</v>
      </c>
      <c r="B42" s="17" t="s">
        <v>23</v>
      </c>
      <c r="C42" s="331">
        <v>87.757000000000005</v>
      </c>
      <c r="D42" s="251">
        <v>85.376999999999995</v>
      </c>
      <c r="E42" s="9">
        <f t="shared" si="0"/>
        <v>97.287965632371197</v>
      </c>
      <c r="F42" s="9">
        <f t="shared" si="1"/>
        <v>-2.3800000000000097</v>
      </c>
    </row>
    <row r="43" spans="1:11">
      <c r="A43" s="7">
        <v>2070500010</v>
      </c>
      <c r="B43" s="17" t="s">
        <v>359</v>
      </c>
      <c r="C43" s="331">
        <v>140</v>
      </c>
      <c r="D43" s="252">
        <v>215.10776999999999</v>
      </c>
      <c r="E43" s="9">
        <f t="shared" si="0"/>
        <v>153.64840714285714</v>
      </c>
      <c r="F43" s="9">
        <f t="shared" si="1"/>
        <v>75.107769999999988</v>
      </c>
    </row>
    <row r="44" spans="1:11" ht="15.75" hidden="1" customHeight="1">
      <c r="A44" s="16">
        <v>2022999910</v>
      </c>
      <c r="B44" s="18" t="s">
        <v>352</v>
      </c>
      <c r="C44" s="331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0">
        <v>0</v>
      </c>
      <c r="D45" s="328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1">
        <v>0</v>
      </c>
      <c r="D46" s="342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405">
        <f>C37+C38</f>
        <v>3499.893</v>
      </c>
      <c r="D47" s="406">
        <f>D37+D38</f>
        <v>3107.5812000000001</v>
      </c>
      <c r="E47" s="5">
        <f t="shared" si="0"/>
        <v>88.790748745747379</v>
      </c>
      <c r="F47" s="5">
        <f t="shared" si="1"/>
        <v>-392.31179999999995</v>
      </c>
      <c r="G47" s="293"/>
      <c r="H47" s="293"/>
      <c r="K47" s="130"/>
    </row>
    <row r="48" spans="1:11" s="6" customFormat="1">
      <c r="A48" s="3"/>
      <c r="B48" s="21" t="s">
        <v>322</v>
      </c>
      <c r="C48" s="405">
        <f>C47-C93</f>
        <v>-23.635540000000219</v>
      </c>
      <c r="D48" s="405">
        <f>D47-D93</f>
        <v>193.76282000000037</v>
      </c>
      <c r="E48" s="22"/>
      <c r="F48" s="22"/>
    </row>
    <row r="49" spans="1:6">
      <c r="A49" s="23"/>
      <c r="B49" s="24"/>
      <c r="C49" s="250"/>
      <c r="D49" s="250"/>
      <c r="E49" s="26"/>
      <c r="F49" s="92"/>
    </row>
    <row r="50" spans="1:6" ht="50.25" customHeight="1">
      <c r="A50" s="28" t="s">
        <v>1</v>
      </c>
      <c r="B50" s="28" t="s">
        <v>29</v>
      </c>
      <c r="C50" s="243" t="s">
        <v>346</v>
      </c>
      <c r="D50" s="244" t="s">
        <v>417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35">
        <f>C54+C57+C58+C59</f>
        <v>1097.9860000000001</v>
      </c>
      <c r="D52" s="458">
        <f>D54+D57+D58+D59</f>
        <v>918.19448999999997</v>
      </c>
      <c r="E52" s="34">
        <f>SUM(D52/C52*100)</f>
        <v>83.625336752927623</v>
      </c>
      <c r="F52" s="34">
        <f>SUM(D52-C52)</f>
        <v>-179.79151000000013</v>
      </c>
    </row>
    <row r="53" spans="1:6" s="6" customFormat="1" ht="31.5" hidden="1">
      <c r="A53" s="35" t="s">
        <v>32</v>
      </c>
      <c r="B53" s="36" t="s">
        <v>33</v>
      </c>
      <c r="C53" s="436"/>
      <c r="D53" s="459"/>
      <c r="E53" s="38"/>
      <c r="F53" s="38"/>
    </row>
    <row r="54" spans="1:6" ht="16.5" customHeight="1">
      <c r="A54" s="35" t="s">
        <v>34</v>
      </c>
      <c r="B54" s="39" t="s">
        <v>35</v>
      </c>
      <c r="C54" s="436">
        <v>1090.604</v>
      </c>
      <c r="D54" s="459">
        <v>915.81299000000001</v>
      </c>
      <c r="E54" s="38">
        <f>SUM(D54/C54*100)</f>
        <v>83.973008534720208</v>
      </c>
      <c r="F54" s="38">
        <f t="shared" ref="F54:F93" si="3">SUM(D54-C54)</f>
        <v>-174.79101000000003</v>
      </c>
    </row>
    <row r="55" spans="1:6" ht="0.75" hidden="1" customHeight="1">
      <c r="A55" s="35" t="s">
        <v>36</v>
      </c>
      <c r="B55" s="39" t="s">
        <v>37</v>
      </c>
      <c r="C55" s="436"/>
      <c r="D55" s="459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36"/>
      <c r="D56" s="459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436">
        <v>0</v>
      </c>
      <c r="D57" s="459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37">
        <v>5</v>
      </c>
      <c r="D58" s="46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436">
        <v>2.3820000000000001</v>
      </c>
      <c r="D59" s="459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435">
        <f>C61</f>
        <v>85.376999999999995</v>
      </c>
      <c r="D60" s="458">
        <f>D61</f>
        <v>70.385999999999996</v>
      </c>
      <c r="E60" s="34">
        <f t="shared" si="4"/>
        <v>82.441406936294314</v>
      </c>
      <c r="F60" s="34">
        <f t="shared" si="3"/>
        <v>-14.991</v>
      </c>
    </row>
    <row r="61" spans="1:6">
      <c r="A61" s="43" t="s">
        <v>48</v>
      </c>
      <c r="B61" s="44" t="s">
        <v>49</v>
      </c>
      <c r="C61" s="436">
        <v>85.376999999999995</v>
      </c>
      <c r="D61" s="459">
        <v>70.385999999999996</v>
      </c>
      <c r="E61" s="38">
        <f t="shared" si="4"/>
        <v>82.441406936294314</v>
      </c>
      <c r="F61" s="38">
        <f t="shared" si="3"/>
        <v>-14.991</v>
      </c>
    </row>
    <row r="62" spans="1:6" s="6" customFormat="1" ht="16.5" customHeight="1">
      <c r="A62" s="30" t="s">
        <v>50</v>
      </c>
      <c r="B62" s="31" t="s">
        <v>51</v>
      </c>
      <c r="C62" s="435">
        <f>C65+C66</f>
        <v>11.731</v>
      </c>
      <c r="D62" s="458">
        <f>D65+D66</f>
        <v>9.8558299999999992</v>
      </c>
      <c r="E62" s="34">
        <f t="shared" si="4"/>
        <v>84.015258716221979</v>
      </c>
      <c r="F62" s="34">
        <f t="shared" si="3"/>
        <v>-1.8751700000000007</v>
      </c>
    </row>
    <row r="63" spans="1:6" ht="13.5" hidden="1" customHeight="1">
      <c r="A63" s="35" t="s">
        <v>52</v>
      </c>
      <c r="B63" s="39" t="s">
        <v>53</v>
      </c>
      <c r="C63" s="436"/>
      <c r="D63" s="459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36"/>
      <c r="D64" s="459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36">
        <v>2.9</v>
      </c>
      <c r="D65" s="459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436">
        <v>8.8309999999999995</v>
      </c>
      <c r="D66" s="459">
        <v>7.0529599999999997</v>
      </c>
      <c r="E66" s="38">
        <f t="shared" si="4"/>
        <v>79.865926848601518</v>
      </c>
      <c r="F66" s="38">
        <f t="shared" si="3"/>
        <v>-1.7780399999999998</v>
      </c>
    </row>
    <row r="67" spans="1:7" s="6" customFormat="1">
      <c r="A67" s="30" t="s">
        <v>58</v>
      </c>
      <c r="B67" s="31" t="s">
        <v>59</v>
      </c>
      <c r="C67" s="224">
        <f>C70+C71+C68+C69</f>
        <v>1139.57754</v>
      </c>
      <c r="D67" s="461">
        <f>D70+D71+D68+D69</f>
        <v>810.52530999999999</v>
      </c>
      <c r="E67" s="34">
        <f t="shared" si="4"/>
        <v>71.12506885665718</v>
      </c>
      <c r="F67" s="34">
        <f t="shared" si="3"/>
        <v>-329.05223000000001</v>
      </c>
    </row>
    <row r="68" spans="1:7" ht="16.5" customHeight="1">
      <c r="A68" s="35" t="s">
        <v>60</v>
      </c>
      <c r="B68" s="39" t="s">
        <v>61</v>
      </c>
      <c r="C68" s="438">
        <v>5</v>
      </c>
      <c r="D68" s="459">
        <v>0</v>
      </c>
      <c r="E68" s="38">
        <f t="shared" si="4"/>
        <v>0</v>
      </c>
      <c r="F68" s="38">
        <f t="shared" si="3"/>
        <v>-5</v>
      </c>
    </row>
    <row r="69" spans="1:7" s="6" customFormat="1">
      <c r="A69" s="35" t="s">
        <v>62</v>
      </c>
      <c r="B69" s="39" t="s">
        <v>63</v>
      </c>
      <c r="C69" s="438">
        <v>71.165000000000006</v>
      </c>
      <c r="D69" s="459">
        <v>66.226380000000006</v>
      </c>
      <c r="E69" s="38">
        <f t="shared" si="4"/>
        <v>93.060324597765756</v>
      </c>
      <c r="F69" s="38">
        <f t="shared" si="3"/>
        <v>-4.9386200000000002</v>
      </c>
      <c r="G69" s="50"/>
    </row>
    <row r="70" spans="1:7" ht="15.75" customHeight="1">
      <c r="A70" s="35" t="s">
        <v>64</v>
      </c>
      <c r="B70" s="39" t="s">
        <v>65</v>
      </c>
      <c r="C70" s="440">
        <v>1063.41254</v>
      </c>
      <c r="D70" s="459">
        <v>744.29893000000004</v>
      </c>
      <c r="E70" s="38">
        <f t="shared" si="4"/>
        <v>69.991550974187305</v>
      </c>
      <c r="F70" s="38">
        <f t="shared" si="3"/>
        <v>-319.11360999999999</v>
      </c>
    </row>
    <row r="71" spans="1:7">
      <c r="A71" s="35" t="s">
        <v>66</v>
      </c>
      <c r="B71" s="39" t="s">
        <v>67</v>
      </c>
      <c r="C71" s="438"/>
      <c r="D71" s="459">
        <v>0</v>
      </c>
      <c r="E71" s="38" t="e">
        <f t="shared" si="4"/>
        <v>#DIV/0!</v>
      </c>
      <c r="F71" s="38">
        <f t="shared" si="3"/>
        <v>0</v>
      </c>
    </row>
    <row r="72" spans="1:7" s="6" customFormat="1" ht="18" customHeight="1">
      <c r="A72" s="30" t="s">
        <v>68</v>
      </c>
      <c r="B72" s="31" t="s">
        <v>69</v>
      </c>
      <c r="C72" s="435">
        <f>C75</f>
        <v>319.50700000000001</v>
      </c>
      <c r="D72" s="458">
        <f>D75</f>
        <v>266.52075000000002</v>
      </c>
      <c r="E72" s="34">
        <f t="shared" si="4"/>
        <v>83.416247531352994</v>
      </c>
      <c r="F72" s="34">
        <f t="shared" si="3"/>
        <v>-52.986249999999984</v>
      </c>
    </row>
    <row r="73" spans="1:7" ht="0.75" hidden="1" customHeight="1">
      <c r="A73" s="35" t="s">
        <v>70</v>
      </c>
      <c r="B73" s="51" t="s">
        <v>71</v>
      </c>
      <c r="C73" s="436"/>
      <c r="D73" s="459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436"/>
      <c r="D74" s="459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436">
        <v>319.50700000000001</v>
      </c>
      <c r="D75" s="459">
        <v>266.52075000000002</v>
      </c>
      <c r="E75" s="38">
        <f t="shared" si="4"/>
        <v>83.416247531352994</v>
      </c>
      <c r="F75" s="38">
        <f t="shared" si="3"/>
        <v>-52.986249999999984</v>
      </c>
    </row>
    <row r="76" spans="1:7" s="6" customFormat="1">
      <c r="A76" s="30" t="s">
        <v>86</v>
      </c>
      <c r="B76" s="31" t="s">
        <v>87</v>
      </c>
      <c r="C76" s="435">
        <f>C77</f>
        <v>865.5</v>
      </c>
      <c r="D76" s="458">
        <f>D77</f>
        <v>834.48599999999999</v>
      </c>
      <c r="E76" s="34">
        <f t="shared" si="4"/>
        <v>96.416637781629106</v>
      </c>
      <c r="F76" s="34">
        <f t="shared" si="3"/>
        <v>-31.01400000000001</v>
      </c>
    </row>
    <row r="77" spans="1:7" ht="14.25" customHeight="1">
      <c r="A77" s="35" t="s">
        <v>88</v>
      </c>
      <c r="B77" s="39" t="s">
        <v>234</v>
      </c>
      <c r="C77" s="436">
        <v>865.5</v>
      </c>
      <c r="D77" s="459">
        <v>834.48599999999999</v>
      </c>
      <c r="E77" s="38">
        <f t="shared" si="4"/>
        <v>96.416637781629106</v>
      </c>
      <c r="F77" s="38">
        <f t="shared" si="3"/>
        <v>-31.01400000000001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 ht="12" customHeight="1">
      <c r="A83" s="30" t="s">
        <v>95</v>
      </c>
      <c r="B83" s="31" t="s">
        <v>96</v>
      </c>
      <c r="C83" s="32">
        <f>C84</f>
        <v>3.85</v>
      </c>
      <c r="D83" s="32">
        <f>D84</f>
        <v>3.85</v>
      </c>
      <c r="E83" s="38">
        <f t="shared" si="4"/>
        <v>100</v>
      </c>
      <c r="F83" s="22">
        <f>F84+F85+F86+F87+F88</f>
        <v>0</v>
      </c>
    </row>
    <row r="84" spans="1:7" ht="11.25" customHeight="1">
      <c r="A84" s="35" t="s">
        <v>97</v>
      </c>
      <c r="B84" s="39" t="s">
        <v>98</v>
      </c>
      <c r="C84" s="37">
        <v>3.85</v>
      </c>
      <c r="D84" s="37">
        <v>3.85</v>
      </c>
      <c r="E84" s="38">
        <v>0</v>
      </c>
      <c r="F84" s="38">
        <f>SUM(D84-C84)</f>
        <v>0</v>
      </c>
    </row>
    <row r="85" spans="1:7" ht="14.25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9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1.2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t="17.25" customHeight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18.75" customHeight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.75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2.75" customHeight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39">
        <f>C52+C60+C62+C67+C72+C76+C83</f>
        <v>3523.5285400000002</v>
      </c>
      <c r="D93" s="407">
        <f>D52+D60+D62+D67+D72+D76+D78+D83+D89</f>
        <v>2913.8183799999997</v>
      </c>
      <c r="E93" s="128">
        <f t="shared" si="4"/>
        <v>82.696034583559793</v>
      </c>
      <c r="F93" s="34">
        <f t="shared" si="3"/>
        <v>-609.71016000000054</v>
      </c>
      <c r="G93" s="293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49"/>
      <c r="D95" s="249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AEB392BF-DA26-444D-A19F-E51C57137A4D}" hiddenRows="1">
      <selection activeCell="C27" sqref="C27"/>
      <pageMargins left="0.75" right="0.75" top="0.18" bottom="0.17" header="0.5" footer="0.25"/>
      <pageSetup paperSize="9" scale="63" orientation="portrait" r:id="rId1"/>
      <headerFooter alignWithMargins="0"/>
    </customSheetView>
    <customSheetView guid="{B30CE22D-C12F-4E12-8BB9-3AAE0A6991CC}" scale="70" showPageBreaks="1" hiddenRows="1" view="pageBreakPreview" topLeftCell="A25">
      <selection activeCell="D62" sqref="D62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5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6"/>
      <headerFooter alignWithMargins="0"/>
    </customSheetView>
    <customSheetView guid="{5BFCA170-DEAE-4D2C-98A0-1E68B427AC01}" showPageBreaks="1" hiddenRows="1">
      <selection activeCell="C27" sqref="C27"/>
      <pageMargins left="0.75" right="0.75" top="0.18" bottom="0.17" header="0.5" footer="0.25"/>
      <pageSetup paperSize="9" scale="63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topLeftCell="A72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3" t="s">
        <v>422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135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400">
        <f>C5+C12+C14+C17+C7</f>
        <v>2882.0432300000002</v>
      </c>
      <c r="D4" s="400">
        <f>D5+D12+D14+D17+D7</f>
        <v>2841.55224</v>
      </c>
      <c r="E4" s="5">
        <f>SUM(D4/C4*100)</f>
        <v>98.595059589026349</v>
      </c>
      <c r="F4" s="5">
        <f>SUM(D4-C4)</f>
        <v>-40.490990000000238</v>
      </c>
    </row>
    <row r="5" spans="1:6" s="6" customFormat="1">
      <c r="A5" s="68">
        <v>1010000000</v>
      </c>
      <c r="B5" s="67" t="s">
        <v>6</v>
      </c>
      <c r="C5" s="400">
        <f>C6</f>
        <v>482.9</v>
      </c>
      <c r="D5" s="400">
        <f>D6</f>
        <v>367.01321000000002</v>
      </c>
      <c r="E5" s="5">
        <f t="shared" ref="E5:E52" si="0">SUM(D5/C5*100)</f>
        <v>76.001907227169198</v>
      </c>
      <c r="F5" s="5">
        <f t="shared" ref="F5:F52" si="1">SUM(D5-C5)</f>
        <v>-115.88678999999996</v>
      </c>
    </row>
    <row r="6" spans="1:6">
      <c r="A6" s="7">
        <v>1010200001</v>
      </c>
      <c r="B6" s="8" t="s">
        <v>229</v>
      </c>
      <c r="C6" s="441">
        <v>482.9</v>
      </c>
      <c r="D6" s="442">
        <v>367.01321000000002</v>
      </c>
      <c r="E6" s="9">
        <f t="shared" ref="E6:E11" si="2">SUM(D6/C6*100)</f>
        <v>76.001907227169198</v>
      </c>
      <c r="F6" s="9">
        <f t="shared" si="1"/>
        <v>-115.88678999999996</v>
      </c>
    </row>
    <row r="7" spans="1:6" ht="31.5">
      <c r="A7" s="3">
        <v>1030000000</v>
      </c>
      <c r="B7" s="13" t="s">
        <v>281</v>
      </c>
      <c r="C7" s="400">
        <f>C8+C10+C9</f>
        <v>602.14323000000002</v>
      </c>
      <c r="D7" s="400">
        <f>D8+D10+D9+D11</f>
        <v>541.54873999999995</v>
      </c>
      <c r="E7" s="5">
        <f t="shared" si="2"/>
        <v>89.936864357006868</v>
      </c>
      <c r="F7" s="5">
        <f t="shared" si="1"/>
        <v>-60.594490000000064</v>
      </c>
    </row>
    <row r="8" spans="1:6">
      <c r="A8" s="7">
        <v>1030223001</v>
      </c>
      <c r="B8" s="8" t="s">
        <v>283</v>
      </c>
      <c r="C8" s="441">
        <v>208.63</v>
      </c>
      <c r="D8" s="442">
        <v>240.74373</v>
      </c>
      <c r="E8" s="9">
        <f t="shared" si="2"/>
        <v>115.3926712361597</v>
      </c>
      <c r="F8" s="9">
        <f t="shared" si="1"/>
        <v>32.113730000000004</v>
      </c>
    </row>
    <row r="9" spans="1:6">
      <c r="A9" s="7">
        <v>1030224001</v>
      </c>
      <c r="B9" s="8" t="s">
        <v>289</v>
      </c>
      <c r="C9" s="441">
        <v>2.2000000000000002</v>
      </c>
      <c r="D9" s="442">
        <v>2.2850899999999998</v>
      </c>
      <c r="E9" s="9">
        <f t="shared" si="2"/>
        <v>103.86772727272727</v>
      </c>
      <c r="F9" s="9">
        <f t="shared" si="1"/>
        <v>8.5089999999999666E-2</v>
      </c>
    </row>
    <row r="10" spans="1:6">
      <c r="A10" s="7">
        <v>1030225001</v>
      </c>
      <c r="B10" s="8" t="s">
        <v>282</v>
      </c>
      <c r="C10" s="441">
        <v>391.31322999999998</v>
      </c>
      <c r="D10" s="442">
        <v>352.22991999999999</v>
      </c>
      <c r="E10" s="9">
        <f t="shared" si="2"/>
        <v>90.012269710380096</v>
      </c>
      <c r="F10" s="9">
        <f t="shared" si="1"/>
        <v>-39.083309999999983</v>
      </c>
    </row>
    <row r="11" spans="1:6">
      <c r="A11" s="7">
        <v>1030226001</v>
      </c>
      <c r="B11" s="8" t="s">
        <v>291</v>
      </c>
      <c r="C11" s="441">
        <v>0</v>
      </c>
      <c r="D11" s="442">
        <v>-53.71</v>
      </c>
      <c r="E11" s="9" t="e">
        <f t="shared" si="2"/>
        <v>#DIV/0!</v>
      </c>
      <c r="F11" s="9">
        <f t="shared" si="1"/>
        <v>-53.71</v>
      </c>
    </row>
    <row r="12" spans="1:6" s="6" customFormat="1">
      <c r="A12" s="68">
        <v>1050000000</v>
      </c>
      <c r="B12" s="67" t="s">
        <v>7</v>
      </c>
      <c r="C12" s="400">
        <f>SUM(C13:C13)</f>
        <v>40</v>
      </c>
      <c r="D12" s="400">
        <f>SUM(D13:D13)</f>
        <v>23.733529999999998</v>
      </c>
      <c r="E12" s="5">
        <f t="shared" si="0"/>
        <v>59.333824999999997</v>
      </c>
      <c r="F12" s="5">
        <f t="shared" si="1"/>
        <v>-16.266470000000002</v>
      </c>
    </row>
    <row r="13" spans="1:6" ht="15.75" customHeight="1">
      <c r="A13" s="7">
        <v>1050300000</v>
      </c>
      <c r="B13" s="11" t="s">
        <v>230</v>
      </c>
      <c r="C13" s="443">
        <v>40</v>
      </c>
      <c r="D13" s="442">
        <v>23.733529999999998</v>
      </c>
      <c r="E13" s="9">
        <f t="shared" si="0"/>
        <v>59.333824999999997</v>
      </c>
      <c r="F13" s="9">
        <f t="shared" si="1"/>
        <v>-16.266470000000002</v>
      </c>
    </row>
    <row r="14" spans="1:6" s="6" customFormat="1" ht="15.75" customHeight="1">
      <c r="A14" s="68">
        <v>1060000000</v>
      </c>
      <c r="B14" s="67" t="s">
        <v>136</v>
      </c>
      <c r="C14" s="400">
        <f>C15+C16</f>
        <v>1745</v>
      </c>
      <c r="D14" s="400">
        <f>D15+D16</f>
        <v>1894.08176</v>
      </c>
      <c r="E14" s="5">
        <f t="shared" si="0"/>
        <v>108.54336733524354</v>
      </c>
      <c r="F14" s="5">
        <f t="shared" si="1"/>
        <v>149.08176000000003</v>
      </c>
    </row>
    <row r="15" spans="1:6" s="6" customFormat="1" ht="15.75" customHeight="1">
      <c r="A15" s="7">
        <v>1060100000</v>
      </c>
      <c r="B15" s="11" t="s">
        <v>9</v>
      </c>
      <c r="C15" s="441">
        <v>495</v>
      </c>
      <c r="D15" s="442">
        <v>887.19515000000001</v>
      </c>
      <c r="E15" s="5">
        <f t="shared" si="0"/>
        <v>179.23134343434344</v>
      </c>
      <c r="F15" s="9">
        <f>SUM(D15-C15)</f>
        <v>392.19515000000001</v>
      </c>
    </row>
    <row r="16" spans="1:6" ht="15" customHeight="1">
      <c r="A16" s="7">
        <v>1060600000</v>
      </c>
      <c r="B16" s="11" t="s">
        <v>8</v>
      </c>
      <c r="C16" s="441">
        <f>181.7+1068.3</f>
        <v>1250</v>
      </c>
      <c r="D16" s="442">
        <v>1006.88661</v>
      </c>
      <c r="E16" s="5">
        <f t="shared" si="0"/>
        <v>80.550928799999994</v>
      </c>
      <c r="F16" s="9">
        <f t="shared" si="1"/>
        <v>-243.11338999999998</v>
      </c>
    </row>
    <row r="17" spans="1:6" s="6" customFormat="1" ht="18" customHeight="1">
      <c r="A17" s="3">
        <v>1080000000</v>
      </c>
      <c r="B17" s="4" t="s">
        <v>11</v>
      </c>
      <c r="C17" s="400">
        <f>C18</f>
        <v>12</v>
      </c>
      <c r="D17" s="400">
        <f>D18</f>
        <v>15.175000000000001</v>
      </c>
      <c r="E17" s="5">
        <f t="shared" si="0"/>
        <v>126.45833333333334</v>
      </c>
      <c r="F17" s="5">
        <f t="shared" si="1"/>
        <v>3.1750000000000007</v>
      </c>
    </row>
    <row r="18" spans="1:6" ht="18" customHeight="1">
      <c r="A18" s="7">
        <v>1080400001</v>
      </c>
      <c r="B18" s="8" t="s">
        <v>228</v>
      </c>
      <c r="C18" s="441">
        <v>12</v>
      </c>
      <c r="D18" s="442">
        <v>15.175000000000001</v>
      </c>
      <c r="E18" s="9">
        <f t="shared" si="0"/>
        <v>126.45833333333334</v>
      </c>
      <c r="F18" s="9">
        <f t="shared" si="1"/>
        <v>3.1750000000000007</v>
      </c>
    </row>
    <row r="19" spans="1:6" ht="0.75" hidden="1" customHeight="1">
      <c r="A19" s="7">
        <v>1080714001</v>
      </c>
      <c r="B19" s="8" t="s">
        <v>12</v>
      </c>
      <c r="C19" s="441"/>
      <c r="D19" s="44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400">
        <f>C21+C22+C23+C24</f>
        <v>0</v>
      </c>
      <c r="D20" s="40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400"/>
      <c r="D21" s="44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400"/>
      <c r="D22" s="44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400"/>
      <c r="D23" s="44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400"/>
      <c r="D24" s="44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400">
        <f>C26+C30+C32+C37+C35</f>
        <v>1072</v>
      </c>
      <c r="D25" s="400">
        <f>D26+D30+D32+D35+D37</f>
        <v>976.83464000000004</v>
      </c>
      <c r="E25" s="5">
        <f t="shared" si="0"/>
        <v>91.122634328358203</v>
      </c>
      <c r="F25" s="5">
        <f t="shared" si="1"/>
        <v>-95.165359999999964</v>
      </c>
    </row>
    <row r="26" spans="1:6" s="6" customFormat="1" ht="30.75" customHeight="1">
      <c r="A26" s="68">
        <v>1110000000</v>
      </c>
      <c r="B26" s="69" t="s">
        <v>129</v>
      </c>
      <c r="C26" s="400">
        <f>C28+C29</f>
        <v>286</v>
      </c>
      <c r="D26" s="400">
        <f>D28+D29</f>
        <v>210.529</v>
      </c>
      <c r="E26" s="5">
        <f t="shared" si="0"/>
        <v>73.611538461538458</v>
      </c>
      <c r="F26" s="5">
        <f t="shared" si="1"/>
        <v>-75.471000000000004</v>
      </c>
    </row>
    <row r="27" spans="1:6">
      <c r="A27" s="16">
        <v>1110502501</v>
      </c>
      <c r="B27" s="17" t="s">
        <v>226</v>
      </c>
      <c r="C27" s="443">
        <v>0</v>
      </c>
      <c r="D27" s="442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43">
        <v>200</v>
      </c>
      <c r="D28" s="442">
        <v>166.2</v>
      </c>
      <c r="E28" s="9">
        <f t="shared" si="0"/>
        <v>83.1</v>
      </c>
      <c r="F28" s="9">
        <f t="shared" si="1"/>
        <v>-33.800000000000011</v>
      </c>
    </row>
    <row r="29" spans="1:6">
      <c r="A29" s="7">
        <v>1110503000</v>
      </c>
      <c r="B29" s="11" t="s">
        <v>225</v>
      </c>
      <c r="C29" s="443">
        <v>86</v>
      </c>
      <c r="D29" s="442">
        <v>44.329000000000001</v>
      </c>
      <c r="E29" s="9">
        <f>SUM(D29/C29*100)</f>
        <v>51.545348837209303</v>
      </c>
      <c r="F29" s="9">
        <f t="shared" si="1"/>
        <v>-41.670999999999999</v>
      </c>
    </row>
    <row r="30" spans="1:6" s="15" customFormat="1" ht="35.25" customHeight="1">
      <c r="A30" s="68">
        <v>1130000000</v>
      </c>
      <c r="B30" s="69" t="s">
        <v>131</v>
      </c>
      <c r="C30" s="400">
        <f>C31</f>
        <v>200</v>
      </c>
      <c r="D30" s="400">
        <f>D31</f>
        <v>175.10563999999999</v>
      </c>
      <c r="E30" s="5">
        <f t="shared" si="0"/>
        <v>87.552819999999997</v>
      </c>
      <c r="F30" s="5">
        <f t="shared" si="1"/>
        <v>-24.894360000000006</v>
      </c>
    </row>
    <row r="31" spans="1:6" ht="18" customHeight="1">
      <c r="A31" s="7">
        <v>1130206005</v>
      </c>
      <c r="B31" s="8" t="s">
        <v>224</v>
      </c>
      <c r="C31" s="441">
        <v>200</v>
      </c>
      <c r="D31" s="442">
        <v>175.10563999999999</v>
      </c>
      <c r="E31" s="9">
        <f>SUM(D31/C31*100)</f>
        <v>87.552819999999997</v>
      </c>
      <c r="F31" s="9">
        <f t="shared" si="1"/>
        <v>-24.894360000000006</v>
      </c>
    </row>
    <row r="32" spans="1:6" ht="17.25" customHeight="1">
      <c r="A32" s="70">
        <v>1140000000</v>
      </c>
      <c r="B32" s="71" t="s">
        <v>132</v>
      </c>
      <c r="C32" s="400">
        <f>C33+C34</f>
        <v>586</v>
      </c>
      <c r="D32" s="400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441">
        <v>586</v>
      </c>
      <c r="D33" s="442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>
      <c r="A34" s="7">
        <v>1140600000</v>
      </c>
      <c r="B34" s="8" t="s">
        <v>223</v>
      </c>
      <c r="C34" s="441">
        <v>0</v>
      </c>
      <c r="D34" s="442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400">
        <f>C36</f>
        <v>0</v>
      </c>
      <c r="D35" s="444">
        <f>D36</f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1163305010</v>
      </c>
      <c r="B36" s="8" t="s">
        <v>268</v>
      </c>
      <c r="C36" s="441">
        <v>0</v>
      </c>
      <c r="D36" s="442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400">
        <f>C38+C39</f>
        <v>0</v>
      </c>
      <c r="D37" s="400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441">
        <v>0</v>
      </c>
      <c r="D38" s="441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41">
        <v>0</v>
      </c>
      <c r="D39" s="442"/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3954.0432300000002</v>
      </c>
      <c r="D40" s="127">
        <f>D4+D25</f>
        <v>3818.38688</v>
      </c>
      <c r="E40" s="5">
        <f t="shared" si="0"/>
        <v>96.569173827672088</v>
      </c>
      <c r="F40" s="5">
        <f t="shared" si="1"/>
        <v>-135.6563500000002</v>
      </c>
    </row>
    <row r="41" spans="1:7" s="6" customFormat="1" ht="20.25" customHeight="1">
      <c r="A41" s="3">
        <v>2000000000</v>
      </c>
      <c r="B41" s="4" t="s">
        <v>20</v>
      </c>
      <c r="C41" s="397">
        <f>C42+C43+C44+C46+C47+C45+C48</f>
        <v>6602.2030000000004</v>
      </c>
      <c r="D41" s="401">
        <f>D42+D43+D44+D46+D47+D45+D48</f>
        <v>5240.2959700000001</v>
      </c>
      <c r="E41" s="5">
        <f t="shared" si="0"/>
        <v>79.371930399595399</v>
      </c>
      <c r="F41" s="5">
        <f t="shared" si="1"/>
        <v>-1361.9070300000003</v>
      </c>
      <c r="G41" s="19"/>
    </row>
    <row r="42" spans="1:7" ht="19.5" customHeight="1">
      <c r="A42" s="16">
        <v>2021000000</v>
      </c>
      <c r="B42" s="17" t="s">
        <v>21</v>
      </c>
      <c r="C42" s="398">
        <f>3530.2+26.311</f>
        <v>3556.511</v>
      </c>
      <c r="D42" s="399">
        <v>3345.2069999999999</v>
      </c>
      <c r="E42" s="9">
        <f t="shared" si="0"/>
        <v>94.058671546355399</v>
      </c>
      <c r="F42" s="9">
        <f t="shared" si="1"/>
        <v>-211.30400000000009</v>
      </c>
    </row>
    <row r="43" spans="1:7" ht="27.75" customHeight="1">
      <c r="A43" s="16">
        <v>2021500200</v>
      </c>
      <c r="B43" s="17" t="s">
        <v>232</v>
      </c>
      <c r="C43" s="12">
        <v>150</v>
      </c>
      <c r="D43" s="20">
        <v>0</v>
      </c>
      <c r="E43" s="9">
        <f t="shared" si="0"/>
        <v>0</v>
      </c>
      <c r="F43" s="9">
        <f t="shared" si="1"/>
        <v>-150</v>
      </c>
    </row>
    <row r="44" spans="1:7" ht="21" customHeight="1">
      <c r="A44" s="16">
        <v>2022000000</v>
      </c>
      <c r="B44" s="17" t="s">
        <v>22</v>
      </c>
      <c r="C44" s="12">
        <v>2311.98</v>
      </c>
      <c r="D44" s="10">
        <v>1311.752</v>
      </c>
      <c r="E44" s="9">
        <f t="shared" si="0"/>
        <v>56.737169006652302</v>
      </c>
      <c r="F44" s="9">
        <f t="shared" si="1"/>
        <v>-1000.2280000000001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174.10900000000001</v>
      </c>
      <c r="D46" s="251">
        <v>173.73599999999999</v>
      </c>
      <c r="E46" s="9">
        <f t="shared" si="0"/>
        <v>99.785766387722617</v>
      </c>
      <c r="F46" s="9">
        <f t="shared" si="1"/>
        <v>-0.37300000000001887</v>
      </c>
    </row>
    <row r="47" spans="1:7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2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2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400">
        <f>SUM(C40,C41,C51)</f>
        <v>10556.246230000001</v>
      </c>
      <c r="D52" s="409">
        <f>D40+D41</f>
        <v>9058.6828500000011</v>
      </c>
      <c r="E52" s="5">
        <f t="shared" si="0"/>
        <v>85.813485709114616</v>
      </c>
      <c r="F52" s="5">
        <f t="shared" si="1"/>
        <v>-1497.5633799999996</v>
      </c>
      <c r="G52" s="94"/>
      <c r="H52" s="94"/>
    </row>
    <row r="53" spans="1:8" s="6" customFormat="1">
      <c r="A53" s="3"/>
      <c r="B53" s="21" t="s">
        <v>321</v>
      </c>
      <c r="C53" s="343">
        <f>C52-C100</f>
        <v>-101.57055000000037</v>
      </c>
      <c r="D53" s="343">
        <f>D52-D100</f>
        <v>1370.2980400000015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412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1445.61067</v>
      </c>
      <c r="E57" s="34">
        <f>SUM(D57/C57*100)</f>
        <v>78.06018787008928</v>
      </c>
      <c r="F57" s="34">
        <f>SUM(D57-C57)</f>
        <v>-406.30733000000009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1439.54367</v>
      </c>
      <c r="E59" s="38">
        <f t="shared" ref="E59:E100" si="3">SUM(D59/C59*100)</f>
        <v>78.199901567264263</v>
      </c>
      <c r="F59" s="38">
        <f t="shared" ref="F59:F100" si="4">SUM(D59-C59)</f>
        <v>-401.30733000000009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170.749</v>
      </c>
      <c r="D65" s="22">
        <f>D66</f>
        <v>140.40186</v>
      </c>
      <c r="E65" s="34">
        <f t="shared" si="3"/>
        <v>82.227046717696737</v>
      </c>
      <c r="F65" s="34">
        <f t="shared" si="4"/>
        <v>-30.347139999999996</v>
      </c>
    </row>
    <row r="66" spans="1:7">
      <c r="A66" s="43" t="s">
        <v>48</v>
      </c>
      <c r="B66" s="44" t="s">
        <v>49</v>
      </c>
      <c r="C66" s="92">
        <v>170.749</v>
      </c>
      <c r="D66" s="92">
        <v>140.40186</v>
      </c>
      <c r="E66" s="38">
        <f t="shared" si="3"/>
        <v>82.227046717696737</v>
      </c>
      <c r="F66" s="38">
        <f t="shared" si="4"/>
        <v>-30.347139999999996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4.8029999999999999</v>
      </c>
      <c r="D67" s="22">
        <f>D70+D71</f>
        <v>2</v>
      </c>
      <c r="E67" s="34">
        <f t="shared" si="3"/>
        <v>41.640641265875495</v>
      </c>
      <c r="F67" s="34">
        <f t="shared" si="4"/>
        <v>-2.8029999999999999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2.8029999999999999</v>
      </c>
      <c r="D70" s="92">
        <v>2</v>
      </c>
      <c r="E70" s="34">
        <f t="shared" si="3"/>
        <v>71.352122725651085</v>
      </c>
      <c r="F70" s="34">
        <f t="shared" si="4"/>
        <v>-0.80299999999999994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3889.5487799999996</v>
      </c>
      <c r="D72" s="105">
        <f>SUM(D73:D76)</f>
        <v>2975.83187</v>
      </c>
      <c r="E72" s="34">
        <f t="shared" si="3"/>
        <v>76.508408515190297</v>
      </c>
      <c r="F72" s="34">
        <f t="shared" si="4"/>
        <v>-913.71690999999964</v>
      </c>
    </row>
    <row r="73" spans="1:7" ht="15.75" customHeight="1">
      <c r="A73" s="35" t="s">
        <v>60</v>
      </c>
      <c r="B73" s="39" t="s">
        <v>61</v>
      </c>
      <c r="C73" s="106">
        <v>7.5</v>
      </c>
      <c r="D73" s="92">
        <v>7.1269999999999998</v>
      </c>
      <c r="E73" s="38">
        <f t="shared" si="3"/>
        <v>95.026666666666657</v>
      </c>
      <c r="F73" s="38">
        <f t="shared" si="4"/>
        <v>-0.37300000000000022</v>
      </c>
    </row>
    <row r="74" spans="1:7" s="6" customFormat="1" ht="19.5" customHeight="1">
      <c r="A74" s="35" t="s">
        <v>62</v>
      </c>
      <c r="B74" s="39" t="s">
        <v>63</v>
      </c>
      <c r="C74" s="106">
        <v>1058.6199999999999</v>
      </c>
      <c r="D74" s="92">
        <v>601.46876999999995</v>
      </c>
      <c r="E74" s="38">
        <f t="shared" si="3"/>
        <v>56.81630518977537</v>
      </c>
      <c r="F74" s="38">
        <f t="shared" si="4"/>
        <v>-457.15122999999994</v>
      </c>
      <c r="G74" s="50"/>
    </row>
    <row r="75" spans="1:7">
      <c r="A75" s="35" t="s">
        <v>64</v>
      </c>
      <c r="B75" s="39" t="s">
        <v>65</v>
      </c>
      <c r="C75" s="106">
        <v>2527.9987799999999</v>
      </c>
      <c r="D75" s="92">
        <v>2241.6111000000001</v>
      </c>
      <c r="E75" s="38">
        <f t="shared" si="3"/>
        <v>88.671367950581057</v>
      </c>
      <c r="F75" s="38">
        <f t="shared" si="4"/>
        <v>-286.38767999999982</v>
      </c>
    </row>
    <row r="76" spans="1:7">
      <c r="A76" s="35" t="s">
        <v>66</v>
      </c>
      <c r="B76" s="39" t="s">
        <v>67</v>
      </c>
      <c r="C76" s="106">
        <v>295.43</v>
      </c>
      <c r="D76" s="92">
        <v>125.625</v>
      </c>
      <c r="E76" s="38">
        <f t="shared" si="3"/>
        <v>42.522763429577225</v>
      </c>
      <c r="F76" s="38">
        <f t="shared" si="4"/>
        <v>-169.80500000000001</v>
      </c>
    </row>
    <row r="77" spans="1:7" s="6" customFormat="1" ht="24" customHeight="1">
      <c r="A77" s="30" t="s">
        <v>68</v>
      </c>
      <c r="B77" s="31" t="s">
        <v>69</v>
      </c>
      <c r="C77" s="22">
        <f>SUM(C78:C81)</f>
        <v>973.35</v>
      </c>
      <c r="D77" s="22">
        <f>SUM(D78:D81)</f>
        <v>536.11221</v>
      </c>
      <c r="E77" s="34">
        <f t="shared" si="3"/>
        <v>55.079078440437669</v>
      </c>
      <c r="F77" s="34">
        <f t="shared" si="4"/>
        <v>-437.23779000000002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973.35</v>
      </c>
      <c r="D80" s="92">
        <v>536.11221</v>
      </c>
      <c r="E80" s="38">
        <f t="shared" si="3"/>
        <v>55.079078440437669</v>
      </c>
      <c r="F80" s="38">
        <f t="shared" si="4"/>
        <v>-437.23779000000002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6.5" customHeight="1">
      <c r="A82" s="30" t="s">
        <v>86</v>
      </c>
      <c r="B82" s="31" t="s">
        <v>87</v>
      </c>
      <c r="C82" s="22">
        <f>C83+C84</f>
        <v>3742.4479999999999</v>
      </c>
      <c r="D82" s="22">
        <f>D83+D84</f>
        <v>2567.8231999999998</v>
      </c>
      <c r="E82" s="34">
        <f t="shared" si="3"/>
        <v>68.613463700764839</v>
      </c>
      <c r="F82" s="34">
        <f t="shared" si="4"/>
        <v>-1174.6248000000001</v>
      </c>
    </row>
    <row r="83" spans="1:6" ht="14.25" customHeight="1">
      <c r="A83" s="35" t="s">
        <v>88</v>
      </c>
      <c r="B83" s="39" t="s">
        <v>234</v>
      </c>
      <c r="C83" s="92">
        <v>3742.4479999999999</v>
      </c>
      <c r="D83" s="92">
        <v>2567.8231999999998</v>
      </c>
      <c r="E83" s="38">
        <f t="shared" si="3"/>
        <v>68.613463700764839</v>
      </c>
      <c r="F83" s="38">
        <f t="shared" si="4"/>
        <v>-1174.6248000000001</v>
      </c>
    </row>
    <row r="84" spans="1:6" ht="14.25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6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15.605</v>
      </c>
      <c r="E90" s="34">
        <f t="shared" si="3"/>
        <v>78.025000000000006</v>
      </c>
      <c r="F90" s="22">
        <f>F91+F92+F93+F94+F95</f>
        <v>-4.3949999999999996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15.605</v>
      </c>
      <c r="E91" s="38">
        <f t="shared" si="3"/>
        <v>78.025000000000006</v>
      </c>
      <c r="F91" s="38">
        <f>SUM(D91-C91)</f>
        <v>-4.3949999999999996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0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410">
        <f>C57+C65+C67+C72+C77+C82+C90+C85+C96</f>
        <v>10657.816780000001</v>
      </c>
      <c r="D100" s="410">
        <f>D57+D65+D67+D72+D77+D82+D90+D85+D96</f>
        <v>7688.3848099999996</v>
      </c>
      <c r="E100" s="34">
        <f t="shared" si="3"/>
        <v>72.138459205150625</v>
      </c>
      <c r="F100" s="34">
        <f t="shared" si="4"/>
        <v>-2969.4319700000015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</sheetData>
  <customSheetViews>
    <customSheetView guid="{AEB392BF-DA26-444D-A19F-E51C57137A4D}" hiddenRows="1" topLeftCell="A72">
      <selection activeCell="C100" sqref="C100"/>
      <pageMargins left="0.75" right="0.75" top="1" bottom="1" header="0.5" footer="0.5"/>
      <pageSetup paperSize="9" scale="46" orientation="portrait" r:id="rId1"/>
      <headerFooter alignWithMargins="0"/>
    </customSheetView>
    <customSheetView guid="{B30CE22D-C12F-4E12-8BB9-3AAE0A6991CC}" scale="70" showPageBreaks="1" printArea="1" hiddenRows="1" view="pageBreakPreview" topLeftCell="A37">
      <selection activeCell="C100" sqref="C100"/>
      <pageMargins left="0.74803149606299213" right="0.74803149606299213" top="0.98425196850393704" bottom="0.98425196850393704" header="0.51181102362204722" footer="0.51181102362204722"/>
      <pageSetup paperSize="9" scale="59" orientation="portrait" r:id="rId2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3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4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5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6"/>
      <headerFooter alignWithMargins="0"/>
    </customSheetView>
    <customSheetView guid="{5BFCA170-DEAE-4D2C-98A0-1E68B427AC01}" showPageBreaks="1" hiddenRows="1" topLeftCell="A72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5"/>
  <sheetViews>
    <sheetView view="pageBreakPreview" zoomScale="70" zoomScaleNormal="100" zoomScaleSheetLayoutView="70" workbookViewId="0">
      <selection activeCell="C52" sqref="C52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3" t="s">
        <v>423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1712.3034699999998</v>
      </c>
      <c r="D4" s="400">
        <f>D5+D12+D14+D17+D7</f>
        <v>1411.72379</v>
      </c>
      <c r="E4" s="5">
        <f>SUM(D4/C4*100)</f>
        <v>82.445887351965723</v>
      </c>
      <c r="F4" s="5">
        <f>SUM(D4-C4)</f>
        <v>-300.57967999999983</v>
      </c>
    </row>
    <row r="5" spans="1:6" s="6" customFormat="1">
      <c r="A5" s="68">
        <v>1010000000</v>
      </c>
      <c r="B5" s="67" t="s">
        <v>6</v>
      </c>
      <c r="C5" s="5">
        <f>C6</f>
        <v>102.1</v>
      </c>
      <c r="D5" s="400">
        <f>D6</f>
        <v>78.681489999999997</v>
      </c>
      <c r="E5" s="5">
        <f t="shared" ref="E5:E52" si="0">SUM(D5/C5*100)</f>
        <v>77.063163565132214</v>
      </c>
      <c r="F5" s="5">
        <f t="shared" ref="F5:F52" si="1">SUM(D5-C5)</f>
        <v>-23.418509999999998</v>
      </c>
    </row>
    <row r="6" spans="1:6">
      <c r="A6" s="7">
        <v>1010200001</v>
      </c>
      <c r="B6" s="8" t="s">
        <v>229</v>
      </c>
      <c r="C6" s="9">
        <v>102.1</v>
      </c>
      <c r="D6" s="442">
        <v>78.681489999999997</v>
      </c>
      <c r="E6" s="9">
        <f t="shared" ref="E6:E11" si="2">SUM(D6/C6*100)</f>
        <v>77.063163565132214</v>
      </c>
      <c r="F6" s="9">
        <f t="shared" si="1"/>
        <v>-23.418509999999998</v>
      </c>
    </row>
    <row r="7" spans="1:6" ht="31.5">
      <c r="A7" s="3">
        <v>1030000000</v>
      </c>
      <c r="B7" s="13" t="s">
        <v>281</v>
      </c>
      <c r="C7" s="343">
        <f>C8+C10+C9</f>
        <v>626.80346999999995</v>
      </c>
      <c r="D7" s="400">
        <f>D8+D10+D9+D11</f>
        <v>578.75426000000004</v>
      </c>
      <c r="E7" s="9">
        <f t="shared" si="2"/>
        <v>92.33424633083159</v>
      </c>
      <c r="F7" s="9">
        <f t="shared" si="1"/>
        <v>-48.049209999999903</v>
      </c>
    </row>
    <row r="8" spans="1:6">
      <c r="A8" s="7">
        <v>1030223001</v>
      </c>
      <c r="B8" s="8" t="s">
        <v>283</v>
      </c>
      <c r="C8" s="9">
        <v>222.96</v>
      </c>
      <c r="D8" s="442">
        <v>257.28336000000002</v>
      </c>
      <c r="E8" s="9">
        <f t="shared" si="2"/>
        <v>115.39440258342304</v>
      </c>
      <c r="F8" s="9">
        <f t="shared" si="1"/>
        <v>34.323360000000008</v>
      </c>
    </row>
    <row r="9" spans="1:6">
      <c r="A9" s="7">
        <v>1030224001</v>
      </c>
      <c r="B9" s="8" t="s">
        <v>289</v>
      </c>
      <c r="C9" s="9">
        <v>2.4</v>
      </c>
      <c r="D9" s="442">
        <v>2.4420999999999999</v>
      </c>
      <c r="E9" s="9">
        <f t="shared" si="2"/>
        <v>101.75416666666668</v>
      </c>
      <c r="F9" s="9">
        <f t="shared" si="1"/>
        <v>4.2100000000000026E-2</v>
      </c>
    </row>
    <row r="10" spans="1:6">
      <c r="A10" s="7">
        <v>1030225001</v>
      </c>
      <c r="B10" s="8" t="s">
        <v>282</v>
      </c>
      <c r="C10" s="9">
        <v>401.44346999999999</v>
      </c>
      <c r="D10" s="442">
        <v>376.42889000000002</v>
      </c>
      <c r="E10" s="9">
        <f t="shared" si="2"/>
        <v>93.768841226885584</v>
      </c>
      <c r="F10" s="9">
        <f t="shared" si="1"/>
        <v>-25.014579999999967</v>
      </c>
    </row>
    <row r="11" spans="1:6">
      <c r="A11" s="7">
        <v>1030226001</v>
      </c>
      <c r="B11" s="8" t="s">
        <v>291</v>
      </c>
      <c r="C11" s="9">
        <v>0</v>
      </c>
      <c r="D11" s="442">
        <v>-57.400089999999999</v>
      </c>
      <c r="E11" s="9" t="e">
        <f t="shared" si="2"/>
        <v>#DIV/0!</v>
      </c>
      <c r="F11" s="9">
        <f t="shared" si="1"/>
        <v>-57.400089999999999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400">
        <f>SUM(D13:D13)</f>
        <v>3.5836100000000002</v>
      </c>
      <c r="E12" s="5">
        <f t="shared" si="0"/>
        <v>35.836100000000002</v>
      </c>
      <c r="F12" s="5">
        <f t="shared" si="1"/>
        <v>-6.4163899999999998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442">
        <v>3.5836100000000002</v>
      </c>
      <c r="E13" s="9">
        <f t="shared" si="0"/>
        <v>35.836100000000002</v>
      </c>
      <c r="F13" s="9">
        <f t="shared" si="1"/>
        <v>-6.4163899999999998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400">
        <f>D15+D16</f>
        <v>750.70443</v>
      </c>
      <c r="E14" s="5">
        <f t="shared" si="0"/>
        <v>77.520077447335808</v>
      </c>
      <c r="F14" s="5">
        <f t="shared" si="1"/>
        <v>-217.69556999999998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442">
        <v>109.41936</v>
      </c>
      <c r="E15" s="9">
        <f t="shared" si="0"/>
        <v>59.661592148309708</v>
      </c>
      <c r="F15" s="9">
        <f>SUM(D15-C15)</f>
        <v>-73.980640000000008</v>
      </c>
    </row>
    <row r="16" spans="1:6" ht="15.75" customHeight="1">
      <c r="A16" s="7">
        <v>1060600000</v>
      </c>
      <c r="B16" s="11" t="s">
        <v>8</v>
      </c>
      <c r="C16" s="9">
        <v>785</v>
      </c>
      <c r="D16" s="442">
        <v>641.28507000000002</v>
      </c>
      <c r="E16" s="9">
        <f t="shared" si="0"/>
        <v>81.692365605095546</v>
      </c>
      <c r="F16" s="9">
        <f t="shared" si="1"/>
        <v>-143.71492999999998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400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442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44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40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44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4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4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4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400">
        <f>D26+D30+D32+D37+D35</f>
        <v>117.28361</v>
      </c>
      <c r="E25" s="5">
        <f t="shared" si="0"/>
        <v>97.736341666666661</v>
      </c>
      <c r="F25" s="5">
        <f t="shared" si="1"/>
        <v>-2.7163900000000041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400">
        <f>D27+D28+D29</f>
        <v>117.28361</v>
      </c>
      <c r="E26" s="5">
        <f t="shared" si="0"/>
        <v>97.736341666666661</v>
      </c>
      <c r="F26" s="5">
        <f t="shared" si="1"/>
        <v>-2.7163900000000041</v>
      </c>
    </row>
    <row r="27" spans="1:6">
      <c r="A27" s="16">
        <v>1110501101</v>
      </c>
      <c r="B27" s="17" t="s">
        <v>226</v>
      </c>
      <c r="C27" s="12">
        <v>0</v>
      </c>
      <c r="D27" s="442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442">
        <v>89.231960000000001</v>
      </c>
      <c r="E28" s="9">
        <f t="shared" si="0"/>
        <v>89.231960000000001</v>
      </c>
      <c r="F28" s="9">
        <f t="shared" si="1"/>
        <v>-10.768039999999999</v>
      </c>
    </row>
    <row r="29" spans="1:6" ht="18" customHeight="1">
      <c r="A29" s="7">
        <v>1110503505</v>
      </c>
      <c r="B29" s="11" t="s">
        <v>225</v>
      </c>
      <c r="C29" s="12">
        <v>20</v>
      </c>
      <c r="D29" s="442">
        <v>28.051649999999999</v>
      </c>
      <c r="E29" s="9">
        <f t="shared" si="0"/>
        <v>140.25824999999998</v>
      </c>
      <c r="F29" s="9">
        <f t="shared" si="1"/>
        <v>8.0516499999999986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400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442">
        <v>0</v>
      </c>
      <c r="E31" s="9" t="e">
        <f t="shared" si="0"/>
        <v>#DIV/0!</v>
      </c>
      <c r="F31" s="9">
        <f t="shared" si="1"/>
        <v>0</v>
      </c>
    </row>
    <row r="32" spans="1:6" ht="17.25" customHeight="1">
      <c r="A32" s="70">
        <v>1140000000</v>
      </c>
      <c r="B32" s="71" t="s">
        <v>132</v>
      </c>
      <c r="C32" s="5">
        <f>C34</f>
        <v>0</v>
      </c>
      <c r="D32" s="400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42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442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400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442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400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441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442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1832.3034699999998</v>
      </c>
      <c r="D40" s="453">
        <f>D4+D25</f>
        <v>1529.0074</v>
      </c>
      <c r="E40" s="5">
        <f t="shared" si="0"/>
        <v>83.447279614659038</v>
      </c>
      <c r="F40" s="5">
        <f t="shared" si="1"/>
        <v>-303.29606999999987</v>
      </c>
    </row>
    <row r="41" spans="1:7" s="6" customFormat="1">
      <c r="A41" s="3">
        <v>2000000000</v>
      </c>
      <c r="B41" s="4" t="s">
        <v>20</v>
      </c>
      <c r="C41" s="400">
        <f>C42+C44+C46+C47+C48+C49+C43+C45+C51</f>
        <v>9526.2997500000019</v>
      </c>
      <c r="D41" s="400">
        <f>D42+D44+D46+D47+D48+D49+D43+D45+D51</f>
        <v>8866.3858500000006</v>
      </c>
      <c r="E41" s="5">
        <f t="shared" si="0"/>
        <v>93.072715353093926</v>
      </c>
      <c r="F41" s="5">
        <f t="shared" si="1"/>
        <v>-659.91390000000138</v>
      </c>
      <c r="G41" s="19"/>
    </row>
    <row r="42" spans="1:7">
      <c r="A42" s="16">
        <v>2021000000</v>
      </c>
      <c r="B42" s="17" t="s">
        <v>21</v>
      </c>
      <c r="C42" s="448">
        <f>1943.3+29.612</f>
        <v>1972.912</v>
      </c>
      <c r="D42" s="454">
        <v>1856.5930000000001</v>
      </c>
      <c r="E42" s="9">
        <f t="shared" si="0"/>
        <v>94.104197247520418</v>
      </c>
      <c r="F42" s="9">
        <f t="shared" si="1"/>
        <v>-116.31899999999996</v>
      </c>
    </row>
    <row r="43" spans="1:7">
      <c r="A43" s="16">
        <v>2021500200</v>
      </c>
      <c r="B43" s="17" t="s">
        <v>232</v>
      </c>
      <c r="C43" s="443">
        <v>570</v>
      </c>
      <c r="D43" s="454">
        <v>150</v>
      </c>
      <c r="E43" s="9">
        <f t="shared" si="0"/>
        <v>26.315789473684209</v>
      </c>
      <c r="F43" s="9">
        <f t="shared" si="1"/>
        <v>-420</v>
      </c>
    </row>
    <row r="44" spans="1:7" ht="16.5" customHeight="1">
      <c r="A44" s="16">
        <v>2022000000</v>
      </c>
      <c r="B44" s="17" t="s">
        <v>22</v>
      </c>
      <c r="C44" s="443">
        <v>6692.0177700000004</v>
      </c>
      <c r="D44" s="442">
        <v>6595.5888500000001</v>
      </c>
      <c r="E44" s="9">
        <f t="shared" si="0"/>
        <v>98.559045667327922</v>
      </c>
      <c r="F44" s="9">
        <f t="shared" si="1"/>
        <v>-96.428920000000289</v>
      </c>
    </row>
    <row r="45" spans="1:7" hidden="1">
      <c r="A45" s="16">
        <v>2022999910</v>
      </c>
      <c r="B45" s="18" t="s">
        <v>352</v>
      </c>
      <c r="C45" s="443"/>
      <c r="D45" s="442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43">
        <v>174.108</v>
      </c>
      <c r="D46" s="455">
        <v>150.881</v>
      </c>
      <c r="E46" s="9">
        <f>SUM(D46/C46*100)</f>
        <v>86.659429779217504</v>
      </c>
      <c r="F46" s="9">
        <f>SUM(D46-C46)</f>
        <v>-23.227000000000004</v>
      </c>
    </row>
    <row r="47" spans="1:7">
      <c r="A47" s="16">
        <v>2020400000</v>
      </c>
      <c r="B47" s="17" t="s">
        <v>24</v>
      </c>
      <c r="C47" s="443">
        <v>3.9389799999999999</v>
      </c>
      <c r="D47" s="456">
        <v>0</v>
      </c>
      <c r="E47" s="9">
        <f t="shared" si="0"/>
        <v>0</v>
      </c>
      <c r="F47" s="9">
        <f t="shared" si="1"/>
        <v>-3.9389799999999999</v>
      </c>
    </row>
    <row r="48" spans="1:7" ht="47.25">
      <c r="A48" s="16">
        <v>2020900000</v>
      </c>
      <c r="B48" s="18" t="s">
        <v>25</v>
      </c>
      <c r="C48" s="443">
        <v>0</v>
      </c>
      <c r="D48" s="456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42">
        <v>0</v>
      </c>
      <c r="D49" s="442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449">
        <v>0</v>
      </c>
      <c r="D50" s="444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443">
        <v>113.32299999999999</v>
      </c>
      <c r="D51" s="442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343">
        <f>C40+C41</f>
        <v>11358.603220000001</v>
      </c>
      <c r="D52" s="450">
        <f>D40+D41</f>
        <v>10395.393250000001</v>
      </c>
      <c r="E52" s="5">
        <f t="shared" si="0"/>
        <v>91.519996329266974</v>
      </c>
      <c r="F52" s="5">
        <f t="shared" si="1"/>
        <v>-963.20996999999988</v>
      </c>
      <c r="G52" s="94"/>
      <c r="H52" s="94"/>
    </row>
    <row r="53" spans="1:8" s="6" customFormat="1">
      <c r="A53" s="3"/>
      <c r="B53" s="21" t="s">
        <v>321</v>
      </c>
      <c r="C53" s="343">
        <f>C52-C101</f>
        <v>-110.81861999999819</v>
      </c>
      <c r="D53" s="343">
        <f>D52-D101</f>
        <v>730.41834000000017</v>
      </c>
      <c r="E53" s="22"/>
      <c r="F53" s="22"/>
    </row>
    <row r="54" spans="1:8" ht="32.25" customHeight="1">
      <c r="A54" s="23"/>
      <c r="B54" s="24"/>
      <c r="C54" s="247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417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52">
        <f>C58+C59+C60+C61+C62+C64+C63</f>
        <v>1344.3119999999999</v>
      </c>
      <c r="D57" s="33">
        <f>D58+D59+D60+D61+D62+D64+D63</f>
        <v>1069.2775799999999</v>
      </c>
      <c r="E57" s="34">
        <f>SUM(D57/C57*100)</f>
        <v>79.540878903111775</v>
      </c>
      <c r="F57" s="34">
        <f>SUM(D57-C57)</f>
        <v>-275.03441999999995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1310.6289999999999</v>
      </c>
      <c r="D59" s="37">
        <v>1044.24908</v>
      </c>
      <c r="E59" s="38">
        <f t="shared" ref="E59:E101" si="3">SUM(D59/C59*100)</f>
        <v>79.675413866166551</v>
      </c>
      <c r="F59" s="38">
        <f t="shared" ref="F59:F101" si="4">SUM(D59-C59)</f>
        <v>-266.37991999999986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51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452">
        <f>C66</f>
        <v>170.749</v>
      </c>
      <c r="D65" s="32">
        <f>D66</f>
        <v>141.27784</v>
      </c>
      <c r="E65" s="34">
        <f t="shared" si="3"/>
        <v>82.740068755893162</v>
      </c>
      <c r="F65" s="34">
        <f t="shared" si="4"/>
        <v>-29.471159999999998</v>
      </c>
    </row>
    <row r="66" spans="1:7" ht="15" customHeight="1">
      <c r="A66" s="43" t="s">
        <v>48</v>
      </c>
      <c r="B66" s="44" t="s">
        <v>49</v>
      </c>
      <c r="C66" s="136">
        <v>170.749</v>
      </c>
      <c r="D66" s="37">
        <v>141.27784</v>
      </c>
      <c r="E66" s="38">
        <f t="shared" si="3"/>
        <v>82.740068755893162</v>
      </c>
      <c r="F66" s="38">
        <f t="shared" si="4"/>
        <v>-29.471159999999998</v>
      </c>
    </row>
    <row r="67" spans="1:7" s="6" customFormat="1" ht="18" customHeight="1">
      <c r="A67" s="30" t="s">
        <v>50</v>
      </c>
      <c r="B67" s="31" t="s">
        <v>51</v>
      </c>
      <c r="C67" s="452">
        <f>C70+C71+C72</f>
        <v>32.86692</v>
      </c>
      <c r="D67" s="32">
        <f>D70+D71+D72</f>
        <v>26.933920000000001</v>
      </c>
      <c r="E67" s="34">
        <f t="shared" si="3"/>
        <v>81.948415002075038</v>
      </c>
      <c r="F67" s="34">
        <f t="shared" si="4"/>
        <v>-5.9329999999999998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2.8029999999999999</v>
      </c>
      <c r="D70" s="37">
        <v>0</v>
      </c>
      <c r="E70" s="34">
        <f t="shared" si="3"/>
        <v>0</v>
      </c>
      <c r="F70" s="34">
        <f t="shared" si="4"/>
        <v>-2.8029999999999999</v>
      </c>
    </row>
    <row r="71" spans="1:7" ht="17.25" customHeight="1">
      <c r="A71" s="46" t="s">
        <v>219</v>
      </c>
      <c r="B71" s="47" t="s">
        <v>220</v>
      </c>
      <c r="C71" s="136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ht="17.25" customHeight="1">
      <c r="A72" s="46" t="s">
        <v>360</v>
      </c>
      <c r="B72" s="47" t="s">
        <v>414</v>
      </c>
      <c r="C72" s="136">
        <v>24.463920000000002</v>
      </c>
      <c r="D72" s="37">
        <v>24.463920000000002</v>
      </c>
      <c r="E72" s="38">
        <f t="shared" ref="E72" si="5">SUM(D72/C72*100)</f>
        <v>100</v>
      </c>
      <c r="F72" s="38">
        <f t="shared" ref="F72" si="6">SUM(D72-C72)</f>
        <v>0</v>
      </c>
    </row>
    <row r="73" spans="1:7" s="6" customFormat="1" ht="19.5" customHeight="1">
      <c r="A73" s="30" t="s">
        <v>58</v>
      </c>
      <c r="B73" s="31" t="s">
        <v>59</v>
      </c>
      <c r="C73" s="224">
        <f>C75+C76+C77+C74</f>
        <v>2164.9298800000001</v>
      </c>
      <c r="D73" s="48">
        <f>SUM(D74:D77)</f>
        <v>1336.24262</v>
      </c>
      <c r="E73" s="34">
        <f t="shared" si="3"/>
        <v>61.72221245336592</v>
      </c>
      <c r="F73" s="34">
        <f t="shared" si="4"/>
        <v>-828.68726000000015</v>
      </c>
    </row>
    <row r="74" spans="1:7" ht="17.25" customHeight="1">
      <c r="A74" s="35" t="s">
        <v>60</v>
      </c>
      <c r="B74" s="39" t="s">
        <v>61</v>
      </c>
      <c r="C74" s="440">
        <v>7.5</v>
      </c>
      <c r="D74" s="37">
        <v>0</v>
      </c>
      <c r="E74" s="38">
        <f t="shared" si="3"/>
        <v>0</v>
      </c>
      <c r="F74" s="38">
        <f t="shared" si="4"/>
        <v>-7.5</v>
      </c>
    </row>
    <row r="75" spans="1:7" s="6" customFormat="1" ht="17.25" customHeight="1">
      <c r="A75" s="35" t="s">
        <v>62</v>
      </c>
      <c r="B75" s="39" t="s">
        <v>63</v>
      </c>
      <c r="C75" s="440">
        <v>311.899</v>
      </c>
      <c r="D75" s="37">
        <v>65</v>
      </c>
      <c r="E75" s="38">
        <f t="shared" si="3"/>
        <v>20.84007964116589</v>
      </c>
      <c r="F75" s="38">
        <f t="shared" si="4"/>
        <v>-246.899</v>
      </c>
      <c r="G75" s="50"/>
    </row>
    <row r="76" spans="1:7" ht="16.5" customHeight="1">
      <c r="A76" s="35" t="s">
        <v>64</v>
      </c>
      <c r="B76" s="39" t="s">
        <v>65</v>
      </c>
      <c r="C76" s="440">
        <v>1609.5360900000001</v>
      </c>
      <c r="D76" s="37">
        <v>1132.24262</v>
      </c>
      <c r="E76" s="38">
        <f t="shared" si="3"/>
        <v>70.345898239535586</v>
      </c>
      <c r="F76" s="38">
        <f t="shared" si="4"/>
        <v>-477.29347000000007</v>
      </c>
    </row>
    <row r="77" spans="1:7" ht="16.5" customHeight="1">
      <c r="A77" s="35" t="s">
        <v>66</v>
      </c>
      <c r="B77" s="39" t="s">
        <v>67</v>
      </c>
      <c r="C77" s="440">
        <v>235.99478999999999</v>
      </c>
      <c r="D77" s="37">
        <v>139</v>
      </c>
      <c r="E77" s="38">
        <f t="shared" si="3"/>
        <v>58.899605368406647</v>
      </c>
      <c r="F77" s="38">
        <f t="shared" si="4"/>
        <v>-96.994789999999995</v>
      </c>
    </row>
    <row r="78" spans="1:7" ht="15.75" hidden="1" customHeight="1">
      <c r="A78" s="30" t="s">
        <v>50</v>
      </c>
      <c r="B78" s="31" t="s">
        <v>51</v>
      </c>
      <c r="C78" s="224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40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52">
        <f>SUM(C81:C83)</f>
        <v>6389.1640399999997</v>
      </c>
      <c r="D80" s="32">
        <f>SUM(D81:D83)</f>
        <v>5949.9612999999999</v>
      </c>
      <c r="E80" s="34">
        <f t="shared" si="3"/>
        <v>93.125818381711184</v>
      </c>
      <c r="F80" s="34">
        <f t="shared" si="4"/>
        <v>-439.20273999999972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>
        <v>5568.5400399999999</v>
      </c>
      <c r="D82" s="37">
        <v>5228.0073899999998</v>
      </c>
      <c r="E82" s="38">
        <f t="shared" si="3"/>
        <v>93.884705011477294</v>
      </c>
      <c r="F82" s="38">
        <f t="shared" si="4"/>
        <v>-340.5326500000001</v>
      </c>
    </row>
    <row r="83" spans="1:6" ht="12.75" customHeight="1">
      <c r="A83" s="35" t="s">
        <v>74</v>
      </c>
      <c r="B83" s="39" t="s">
        <v>75</v>
      </c>
      <c r="C83" s="136">
        <v>820.62400000000002</v>
      </c>
      <c r="D83" s="37">
        <v>721.95390999999995</v>
      </c>
      <c r="E83" s="38">
        <f t="shared" si="3"/>
        <v>87.976212004523376</v>
      </c>
      <c r="F83" s="38">
        <f t="shared" si="4"/>
        <v>-98.670090000000073</v>
      </c>
    </row>
    <row r="84" spans="1:6" s="6" customFormat="1" ht="11.25" customHeight="1">
      <c r="A84" s="30" t="s">
        <v>86</v>
      </c>
      <c r="B84" s="31" t="s">
        <v>87</v>
      </c>
      <c r="C84" s="452">
        <f>C85</f>
        <v>1357.4</v>
      </c>
      <c r="D84" s="32">
        <f>SUM(D85)</f>
        <v>1133.5026499999999</v>
      </c>
      <c r="E84" s="34">
        <f t="shared" si="3"/>
        <v>83.505425814056267</v>
      </c>
      <c r="F84" s="34">
        <f t="shared" si="4"/>
        <v>-223.89735000000019</v>
      </c>
    </row>
    <row r="85" spans="1:6" ht="14.25" customHeight="1">
      <c r="A85" s="35" t="s">
        <v>88</v>
      </c>
      <c r="B85" s="39" t="s">
        <v>234</v>
      </c>
      <c r="C85" s="136">
        <v>1357.4</v>
      </c>
      <c r="D85" s="37">
        <v>1133.5026499999999</v>
      </c>
      <c r="E85" s="38">
        <f t="shared" si="3"/>
        <v>83.505425814056267</v>
      </c>
      <c r="F85" s="38">
        <f t="shared" si="4"/>
        <v>-223.89735000000019</v>
      </c>
    </row>
    <row r="86" spans="1:6" s="6" customFormat="1" ht="12" customHeight="1">
      <c r="A86" s="52">
        <v>1000</v>
      </c>
      <c r="B86" s="31" t="s">
        <v>89</v>
      </c>
      <c r="C86" s="452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52">
        <f>C92+C93+C94+C95+C96</f>
        <v>10</v>
      </c>
      <c r="D91" s="32">
        <f>D92+D93+D94+D95+D96</f>
        <v>7.7789999999999999</v>
      </c>
      <c r="E91" s="38">
        <f t="shared" si="3"/>
        <v>77.790000000000006</v>
      </c>
      <c r="F91" s="22">
        <f>F92+F93+F94+F95+F96</f>
        <v>-2.2210000000000001</v>
      </c>
    </row>
    <row r="92" spans="1:6" ht="19.5" customHeight="1">
      <c r="A92" s="35" t="s">
        <v>97</v>
      </c>
      <c r="B92" s="39" t="s">
        <v>98</v>
      </c>
      <c r="C92" s="136">
        <v>10</v>
      </c>
      <c r="D92" s="37">
        <v>7.7789999999999999</v>
      </c>
      <c r="E92" s="38">
        <f t="shared" si="3"/>
        <v>77.790000000000006</v>
      </c>
      <c r="F92" s="38">
        <f>SUM(D92-C92)</f>
        <v>-2.2210000000000001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40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4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customHeight="1">
      <c r="A99" s="53">
        <v>1402</v>
      </c>
      <c r="B99" s="54" t="s">
        <v>117</v>
      </c>
      <c r="C99" s="440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customHeight="1">
      <c r="A100" s="53">
        <v>1403</v>
      </c>
      <c r="B100" s="54" t="s">
        <v>118</v>
      </c>
      <c r="C100" s="440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410">
        <f>C57+C65+C67+C73+C80+C84+C86+C91+C78</f>
        <v>11469.421839999999</v>
      </c>
      <c r="D101" s="410">
        <f>D57+D65+D67+D73+D80+D84+D91+D86</f>
        <v>9664.9749100000008</v>
      </c>
      <c r="E101" s="34">
        <f t="shared" si="3"/>
        <v>84.267324411184106</v>
      </c>
      <c r="F101" s="34">
        <f t="shared" si="4"/>
        <v>-1804.4469299999982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</sheetData>
  <customSheetViews>
    <customSheetView guid="{AEB392BF-DA26-444D-A19F-E51C57137A4D}" scale="70" showPageBreaks="1" printArea="1" hiddenRows="1" view="pageBreakPreview">
      <selection activeCell="C52" sqref="C52"/>
      <pageMargins left="0.7" right="0.7" top="0.75" bottom="0.75" header="0.3" footer="0.3"/>
      <pageSetup paperSize="9" scale="48" orientation="portrait" r:id="rId1"/>
    </customSheetView>
    <customSheetView guid="{B30CE22D-C12F-4E12-8BB9-3AAE0A6991CC}" scale="70" showPageBreaks="1" printArea="1" hiddenRows="1" view="pageBreakPreview" topLeftCell="A40">
      <selection activeCell="C100" sqref="C100:D100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3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4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cale="70" showPageBreaks="1" printArea="1" hiddenRows="1" view="pageBreakPreview">
      <selection activeCell="C52" sqref="C52"/>
      <pageMargins left="0.7" right="0.7" top="0.75" bottom="0.75" header="0.3" footer="0.3"/>
      <pageSetup paperSize="9" scale="48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3" t="s">
        <v>424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0">
        <f>C5+C12+C14+C17+C20+C7</f>
        <v>4166.8600000000006</v>
      </c>
      <c r="D4" s="280">
        <f>D5+D12+D14+D17+D20+D7</f>
        <v>3671.0370700000003</v>
      </c>
      <c r="E4" s="5">
        <f>SUM(D4/C4*100)</f>
        <v>88.10080180279634</v>
      </c>
      <c r="F4" s="5">
        <f>SUM(D4-C4)</f>
        <v>-495.82293000000027</v>
      </c>
    </row>
    <row r="5" spans="1:6" s="6" customFormat="1">
      <c r="A5" s="68">
        <v>1010000000</v>
      </c>
      <c r="B5" s="67" t="s">
        <v>6</v>
      </c>
      <c r="C5" s="280">
        <f>C6</f>
        <v>456.3</v>
      </c>
      <c r="D5" s="280">
        <f>D6</f>
        <v>390.92466000000002</v>
      </c>
      <c r="E5" s="5">
        <f t="shared" ref="E5:E50" si="0">SUM(D5/C5*100)</f>
        <v>85.672728468113078</v>
      </c>
      <c r="F5" s="5">
        <f t="shared" ref="F5:F50" si="1">SUM(D5-C5)</f>
        <v>-65.375339999999994</v>
      </c>
    </row>
    <row r="6" spans="1:6">
      <c r="A6" s="7">
        <v>1010200001</v>
      </c>
      <c r="B6" s="8" t="s">
        <v>229</v>
      </c>
      <c r="C6" s="329">
        <v>456.3</v>
      </c>
      <c r="D6" s="330">
        <v>390.92466000000002</v>
      </c>
      <c r="E6" s="9">
        <f t="shared" ref="E6:E11" si="2">SUM(D6/C6*100)</f>
        <v>85.672728468113078</v>
      </c>
      <c r="F6" s="9">
        <f t="shared" si="1"/>
        <v>-65.375339999999994</v>
      </c>
    </row>
    <row r="7" spans="1:6" ht="31.5">
      <c r="A7" s="3">
        <v>1030000000</v>
      </c>
      <c r="B7" s="13" t="s">
        <v>281</v>
      </c>
      <c r="C7" s="280">
        <f>C8+C10+C9</f>
        <v>719.56000000000006</v>
      </c>
      <c r="D7" s="280">
        <f>D8+D10+D9+D11</f>
        <v>690.37121000000002</v>
      </c>
      <c r="E7" s="5">
        <f t="shared" si="2"/>
        <v>95.943522430374117</v>
      </c>
      <c r="F7" s="5">
        <f t="shared" si="1"/>
        <v>-29.18879000000004</v>
      </c>
    </row>
    <row r="8" spans="1:6">
      <c r="A8" s="7">
        <v>1030223001</v>
      </c>
      <c r="B8" s="8" t="s">
        <v>283</v>
      </c>
      <c r="C8" s="329">
        <v>272.49</v>
      </c>
      <c r="D8" s="330">
        <v>306.90231</v>
      </c>
      <c r="E8" s="9">
        <f t="shared" si="2"/>
        <v>112.62883408565452</v>
      </c>
      <c r="F8" s="9">
        <f t="shared" si="1"/>
        <v>34.412309999999991</v>
      </c>
    </row>
    <row r="9" spans="1:6">
      <c r="A9" s="7">
        <v>1030224001</v>
      </c>
      <c r="B9" s="8" t="s">
        <v>289</v>
      </c>
      <c r="C9" s="329">
        <v>2.85</v>
      </c>
      <c r="D9" s="330">
        <v>2.9130600000000002</v>
      </c>
      <c r="E9" s="9">
        <f t="shared" si="2"/>
        <v>102.21263157894738</v>
      </c>
      <c r="F9" s="9">
        <f t="shared" si="1"/>
        <v>6.3060000000000116E-2</v>
      </c>
    </row>
    <row r="10" spans="1:6">
      <c r="A10" s="7">
        <v>1030225001</v>
      </c>
      <c r="B10" s="8" t="s">
        <v>282</v>
      </c>
      <c r="C10" s="329">
        <v>444.22</v>
      </c>
      <c r="D10" s="330">
        <v>449.02591000000001</v>
      </c>
      <c r="E10" s="9">
        <f t="shared" si="2"/>
        <v>101.0818760974292</v>
      </c>
      <c r="F10" s="9">
        <f t="shared" si="1"/>
        <v>4.805909999999983</v>
      </c>
    </row>
    <row r="11" spans="1:6">
      <c r="A11" s="7">
        <v>1030226001</v>
      </c>
      <c r="B11" s="8" t="s">
        <v>290</v>
      </c>
      <c r="C11" s="329">
        <v>0</v>
      </c>
      <c r="D11" s="328">
        <v>-68.470070000000007</v>
      </c>
      <c r="E11" s="9" t="e">
        <f t="shared" si="2"/>
        <v>#DIV/0!</v>
      </c>
      <c r="F11" s="9">
        <f t="shared" si="1"/>
        <v>-68.470070000000007</v>
      </c>
    </row>
    <row r="12" spans="1:6" s="6" customFormat="1">
      <c r="A12" s="68">
        <v>1050000000</v>
      </c>
      <c r="B12" s="67" t="s">
        <v>7</v>
      </c>
      <c r="C12" s="280">
        <f>SUM(C13:C13)</f>
        <v>50</v>
      </c>
      <c r="D12" s="280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1">
        <v>50</v>
      </c>
      <c r="D13" s="330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0">
        <f>C15+C16</f>
        <v>2916</v>
      </c>
      <c r="D14" s="280">
        <f>D15+D16</f>
        <v>2540.2784699999997</v>
      </c>
      <c r="E14" s="5">
        <f t="shared" si="0"/>
        <v>87.115173868312752</v>
      </c>
      <c r="F14" s="5">
        <f t="shared" si="1"/>
        <v>-375.72153000000026</v>
      </c>
    </row>
    <row r="15" spans="1:6" s="6" customFormat="1" ht="15.75" customHeight="1">
      <c r="A15" s="7">
        <v>1060100000</v>
      </c>
      <c r="B15" s="11" t="s">
        <v>9</v>
      </c>
      <c r="C15" s="329">
        <v>255</v>
      </c>
      <c r="D15" s="330">
        <v>216.34602000000001</v>
      </c>
      <c r="E15" s="9">
        <f t="shared" si="0"/>
        <v>84.841576470588237</v>
      </c>
      <c r="F15" s="9">
        <f>SUM(D15-C15)</f>
        <v>-38.65397999999999</v>
      </c>
    </row>
    <row r="16" spans="1:6" ht="15.75" customHeight="1">
      <c r="A16" s="7">
        <v>1060600000</v>
      </c>
      <c r="B16" s="11" t="s">
        <v>8</v>
      </c>
      <c r="C16" s="329">
        <v>2661</v>
      </c>
      <c r="D16" s="330">
        <v>2323.9324499999998</v>
      </c>
      <c r="E16" s="9">
        <f t="shared" si="0"/>
        <v>87.333049605411489</v>
      </c>
      <c r="F16" s="9">
        <f t="shared" si="1"/>
        <v>-337.06755000000021</v>
      </c>
    </row>
    <row r="17" spans="1:6" s="6" customFormat="1">
      <c r="A17" s="3">
        <v>1080000000</v>
      </c>
      <c r="B17" s="4" t="s">
        <v>11</v>
      </c>
      <c r="C17" s="280">
        <f>C18</f>
        <v>25</v>
      </c>
      <c r="D17" s="280">
        <f>D18</f>
        <v>21.3</v>
      </c>
      <c r="E17" s="5">
        <f t="shared" si="0"/>
        <v>85.2</v>
      </c>
      <c r="F17" s="5">
        <f t="shared" si="1"/>
        <v>-3.6999999999999993</v>
      </c>
    </row>
    <row r="18" spans="1:6" ht="18" customHeight="1">
      <c r="A18" s="7">
        <v>1080400001</v>
      </c>
      <c r="B18" s="8" t="s">
        <v>228</v>
      </c>
      <c r="C18" s="329">
        <v>25</v>
      </c>
      <c r="D18" s="330">
        <v>21.3</v>
      </c>
      <c r="E18" s="9">
        <f t="shared" si="0"/>
        <v>85.2</v>
      </c>
      <c r="F18" s="9">
        <f t="shared" si="1"/>
        <v>-3.6999999999999993</v>
      </c>
    </row>
    <row r="19" spans="1:6" ht="47.25" hidden="1" customHeight="1">
      <c r="A19" s="7">
        <v>1080714001</v>
      </c>
      <c r="B19" s="8" t="s">
        <v>12</v>
      </c>
      <c r="C19" s="329"/>
      <c r="D19" s="33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0">
        <f>C21+C22+C23+C24</f>
        <v>0</v>
      </c>
      <c r="D20" s="28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0"/>
      <c r="D21" s="332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0"/>
      <c r="D22" s="332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0"/>
      <c r="D23" s="332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0"/>
      <c r="D24" s="332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0">
        <f>C26+C29+C31+C36</f>
        <v>72</v>
      </c>
      <c r="D25" s="93">
        <f>D26+D29+D31+D36+D34</f>
        <v>-219.07198999999997</v>
      </c>
      <c r="E25" s="5">
        <f t="shared" si="0"/>
        <v>-304.26665277777778</v>
      </c>
      <c r="F25" s="5">
        <f t="shared" si="1"/>
        <v>-291.07198999999997</v>
      </c>
    </row>
    <row r="26" spans="1:6" s="6" customFormat="1" ht="30" customHeight="1">
      <c r="A26" s="68">
        <v>1110000000</v>
      </c>
      <c r="B26" s="69" t="s">
        <v>129</v>
      </c>
      <c r="C26" s="280">
        <f>C27+C28</f>
        <v>72</v>
      </c>
      <c r="D26" s="93">
        <f>D27+D28</f>
        <v>-267.74849999999998</v>
      </c>
      <c r="E26" s="5">
        <f t="shared" si="0"/>
        <v>-371.87291666666664</v>
      </c>
      <c r="F26" s="5">
        <f t="shared" si="1"/>
        <v>-339.74849999999998</v>
      </c>
    </row>
    <row r="27" spans="1:6" ht="15" customHeight="1">
      <c r="A27" s="16">
        <v>1110502510</v>
      </c>
      <c r="B27" s="17" t="s">
        <v>226</v>
      </c>
      <c r="C27" s="331">
        <v>70</v>
      </c>
      <c r="D27" s="328">
        <v>-277.74849999999998</v>
      </c>
      <c r="E27" s="9">
        <f t="shared" si="0"/>
        <v>-396.78357142857141</v>
      </c>
      <c r="F27" s="9">
        <f t="shared" si="1"/>
        <v>-347.74849999999998</v>
      </c>
    </row>
    <row r="28" spans="1:6" ht="15.75" customHeight="1">
      <c r="A28" s="7">
        <v>1110503505</v>
      </c>
      <c r="B28" s="11" t="s">
        <v>225</v>
      </c>
      <c r="C28" s="331">
        <v>2</v>
      </c>
      <c r="D28" s="330">
        <v>10</v>
      </c>
      <c r="E28" s="9">
        <f t="shared" si="0"/>
        <v>500</v>
      </c>
      <c r="F28" s="9">
        <f t="shared" si="1"/>
        <v>8</v>
      </c>
    </row>
    <row r="29" spans="1:6" s="15" customFormat="1" ht="29.25">
      <c r="A29" s="68">
        <v>1130000000</v>
      </c>
      <c r="B29" s="69" t="s">
        <v>131</v>
      </c>
      <c r="C29" s="280">
        <f>C30</f>
        <v>0</v>
      </c>
      <c r="D29" s="280">
        <f>D30</f>
        <v>44.111130000000003</v>
      </c>
      <c r="E29" s="5" t="e">
        <f t="shared" si="0"/>
        <v>#DIV/0!</v>
      </c>
      <c r="F29" s="5">
        <f t="shared" si="1"/>
        <v>44.111130000000003</v>
      </c>
    </row>
    <row r="30" spans="1:6" ht="17.25" customHeight="1">
      <c r="A30" s="7">
        <v>1130206005</v>
      </c>
      <c r="B30" s="8" t="s">
        <v>224</v>
      </c>
      <c r="C30" s="329">
        <v>0</v>
      </c>
      <c r="D30" s="330">
        <v>44.111130000000003</v>
      </c>
      <c r="E30" s="9" t="e">
        <f t="shared" si="0"/>
        <v>#DIV/0!</v>
      </c>
      <c r="F30" s="9">
        <f t="shared" si="1"/>
        <v>44.111130000000003</v>
      </c>
    </row>
    <row r="31" spans="1:6" ht="28.5">
      <c r="A31" s="70">
        <v>1140000000</v>
      </c>
      <c r="B31" s="71" t="s">
        <v>132</v>
      </c>
      <c r="C31" s="280">
        <f>C32+C33</f>
        <v>0</v>
      </c>
      <c r="D31" s="280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29">
        <v>0</v>
      </c>
      <c r="D32" s="33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29">
        <v>0</v>
      </c>
      <c r="D33" s="33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0">
        <f>C35</f>
        <v>0</v>
      </c>
      <c r="D34" s="280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29">
        <v>0</v>
      </c>
      <c r="D35" s="33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0">
        <f>C37+C38</f>
        <v>0</v>
      </c>
      <c r="D36" s="93">
        <f>D37+D38</f>
        <v>4.5653800000000002</v>
      </c>
      <c r="E36" s="5" t="e">
        <f t="shared" si="0"/>
        <v>#DIV/0!</v>
      </c>
      <c r="F36" s="5">
        <f t="shared" si="1"/>
        <v>4.5653800000000002</v>
      </c>
    </row>
    <row r="37" spans="1:7" ht="19.5" customHeight="1">
      <c r="A37" s="7">
        <v>1170105005</v>
      </c>
      <c r="B37" s="8" t="s">
        <v>18</v>
      </c>
      <c r="C37" s="329">
        <f>C38</f>
        <v>0</v>
      </c>
      <c r="D37" s="339">
        <v>4.5653800000000002</v>
      </c>
      <c r="E37" s="9" t="e">
        <f t="shared" si="0"/>
        <v>#DIV/0!</v>
      </c>
      <c r="F37" s="9">
        <f t="shared" si="1"/>
        <v>4.5653800000000002</v>
      </c>
    </row>
    <row r="38" spans="1:7" ht="17.25" customHeight="1">
      <c r="A38" s="7">
        <v>1170505005</v>
      </c>
      <c r="B38" s="11" t="s">
        <v>221</v>
      </c>
      <c r="C38" s="329">
        <v>0</v>
      </c>
      <c r="D38" s="33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3">
        <f>SUM(C4,C25)</f>
        <v>4238.8600000000006</v>
      </c>
      <c r="D39" s="333">
        <f>D4+D25</f>
        <v>3451.9650800000004</v>
      </c>
      <c r="E39" s="5">
        <f t="shared" si="0"/>
        <v>81.436166327739059</v>
      </c>
      <c r="F39" s="5">
        <f t="shared" si="1"/>
        <v>-786.89492000000018</v>
      </c>
    </row>
    <row r="40" spans="1:7" s="6" customFormat="1">
      <c r="A40" s="3">
        <v>2000000000</v>
      </c>
      <c r="B40" s="4" t="s">
        <v>20</v>
      </c>
      <c r="C40" s="411">
        <f>C41+C43+C45+C46+C47+C48+C42+C44</f>
        <v>2747.0999800000004</v>
      </c>
      <c r="D40" s="280">
        <f>D41+D43+D45+D46+D47+D48+D42</f>
        <v>2622.4410999999996</v>
      </c>
      <c r="E40" s="5">
        <f t="shared" si="0"/>
        <v>95.462164431306903</v>
      </c>
      <c r="F40" s="5">
        <f t="shared" si="1"/>
        <v>-124.65888000000086</v>
      </c>
      <c r="G40" s="19"/>
    </row>
    <row r="41" spans="1:7">
      <c r="A41" s="16">
        <v>2021000000</v>
      </c>
      <c r="B41" s="17" t="s">
        <v>21</v>
      </c>
      <c r="C41" s="334">
        <v>1128.914</v>
      </c>
      <c r="D41" s="335">
        <v>1065.7239999999999</v>
      </c>
      <c r="E41" s="9">
        <f t="shared" si="0"/>
        <v>94.4025851393463</v>
      </c>
      <c r="F41" s="9">
        <f t="shared" si="1"/>
        <v>-63.190000000000055</v>
      </c>
    </row>
    <row r="42" spans="1:7" ht="17.25" customHeight="1">
      <c r="A42" s="16">
        <v>2021500200</v>
      </c>
      <c r="B42" s="17" t="s">
        <v>232</v>
      </c>
      <c r="C42" s="334">
        <v>0</v>
      </c>
      <c r="D42" s="335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4">
        <v>1190.3929800000001</v>
      </c>
      <c r="D43" s="330">
        <v>1134.605</v>
      </c>
      <c r="E43" s="9">
        <f t="shared" si="0"/>
        <v>95.313482107396169</v>
      </c>
      <c r="F43" s="9">
        <f t="shared" si="1"/>
        <v>-55.787980000000061</v>
      </c>
    </row>
    <row r="44" spans="1:7" ht="0.75" hidden="1" customHeight="1">
      <c r="A44" s="16">
        <v>2022999910</v>
      </c>
      <c r="B44" s="18" t="s">
        <v>352</v>
      </c>
      <c r="C44" s="334">
        <v>0</v>
      </c>
      <c r="D44" s="33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1">
        <v>177.46700000000001</v>
      </c>
      <c r="D45" s="336">
        <v>171.7861</v>
      </c>
      <c r="E45" s="9">
        <f t="shared" si="0"/>
        <v>96.798897823257278</v>
      </c>
      <c r="F45" s="9">
        <f t="shared" si="1"/>
        <v>-5.6809000000000083</v>
      </c>
    </row>
    <row r="46" spans="1:7" ht="12.75" customHeight="1">
      <c r="A46" s="16">
        <v>2020400000</v>
      </c>
      <c r="B46" s="17" t="s">
        <v>24</v>
      </c>
      <c r="C46" s="331"/>
      <c r="D46" s="337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1">
        <v>250.32599999999999</v>
      </c>
      <c r="D47" s="337">
        <v>250.32599999999999</v>
      </c>
      <c r="E47" s="9">
        <f t="shared" si="0"/>
        <v>100</v>
      </c>
      <c r="F47" s="9">
        <f t="shared" si="1"/>
        <v>0</v>
      </c>
    </row>
    <row r="48" spans="1:7" ht="21" customHeight="1">
      <c r="A48" s="7">
        <v>2190500005</v>
      </c>
      <c r="B48" s="11" t="s">
        <v>26</v>
      </c>
      <c r="C48" s="332"/>
      <c r="D48" s="332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38">
        <v>0</v>
      </c>
      <c r="D49" s="332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93">
        <f>C39+C40</f>
        <v>6985.9599800000015</v>
      </c>
      <c r="D50" s="390">
        <f>D39+D40</f>
        <v>6074.4061799999999</v>
      </c>
      <c r="E50" s="280">
        <f t="shared" si="0"/>
        <v>86.95163152079779</v>
      </c>
      <c r="F50" s="93">
        <f t="shared" si="1"/>
        <v>-911.5538000000015</v>
      </c>
      <c r="G50" s="151"/>
      <c r="H50" s="293"/>
    </row>
    <row r="51" spans="1:8" s="6" customFormat="1">
      <c r="A51" s="3"/>
      <c r="B51" s="21" t="s">
        <v>321</v>
      </c>
      <c r="C51" s="93">
        <f>C50-C96</f>
        <v>-676.83369999999741</v>
      </c>
      <c r="D51" s="93">
        <f>D50-D96</f>
        <v>-572.82448999999997</v>
      </c>
      <c r="E51" s="32"/>
      <c r="F51" s="32"/>
    </row>
    <row r="52" spans="1:8">
      <c r="A52" s="23"/>
      <c r="B52" s="24"/>
      <c r="C52" s="326"/>
      <c r="D52" s="326"/>
      <c r="E52" s="26"/>
      <c r="F52" s="27"/>
    </row>
    <row r="53" spans="1:8" ht="45.75" customHeight="1">
      <c r="A53" s="28" t="s">
        <v>1</v>
      </c>
      <c r="B53" s="28" t="s">
        <v>29</v>
      </c>
      <c r="C53" s="243" t="s">
        <v>346</v>
      </c>
      <c r="D53" s="244" t="s">
        <v>417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1603.8999999999999</v>
      </c>
      <c r="D55" s="32">
        <f>D56+D57+D58+D59+D60+D62+D61</f>
        <v>1346.4918499999999</v>
      </c>
      <c r="E55" s="34">
        <f>SUM(D55/C55*100)</f>
        <v>83.951109794874995</v>
      </c>
      <c r="F55" s="34">
        <f>SUM(D55-C55)</f>
        <v>-257.40814999999998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1341.3848499999999</v>
      </c>
      <c r="E57" s="38">
        <f t="shared" ref="E57:E69" si="3">SUM(D57/C57*100)</f>
        <v>84.167225110653476</v>
      </c>
      <c r="F57" s="38">
        <f t="shared" ref="F57:F69" si="4">SUM(D57-C57)</f>
        <v>-252.32915000000003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5.1859999999999999</v>
      </c>
      <c r="D62" s="37">
        <v>5.1070000000000002</v>
      </c>
      <c r="E62" s="38">
        <f t="shared" si="3"/>
        <v>98.476667952178957</v>
      </c>
      <c r="F62" s="38">
        <f t="shared" si="4"/>
        <v>-7.8999999999999737E-2</v>
      </c>
    </row>
    <row r="63" spans="1:8" s="6" customFormat="1">
      <c r="A63" s="41" t="s">
        <v>46</v>
      </c>
      <c r="B63" s="42" t="s">
        <v>47</v>
      </c>
      <c r="C63" s="32">
        <f>C64</f>
        <v>170.749</v>
      </c>
      <c r="D63" s="32">
        <f>D64</f>
        <v>138.90102999999999</v>
      </c>
      <c r="E63" s="34">
        <f t="shared" si="3"/>
        <v>81.348078173225019</v>
      </c>
      <c r="F63" s="34">
        <f t="shared" si="4"/>
        <v>-31.847970000000004</v>
      </c>
    </row>
    <row r="64" spans="1:8">
      <c r="A64" s="43" t="s">
        <v>48</v>
      </c>
      <c r="B64" s="44" t="s">
        <v>49</v>
      </c>
      <c r="C64" s="37">
        <v>170.749</v>
      </c>
      <c r="D64" s="37">
        <v>138.90102999999999</v>
      </c>
      <c r="E64" s="38">
        <f t="shared" si="3"/>
        <v>81.348078173225019</v>
      </c>
      <c r="F64" s="38">
        <f t="shared" si="4"/>
        <v>-31.847970000000004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2.4</v>
      </c>
      <c r="D65" s="32">
        <f>D68+D69</f>
        <v>1.8</v>
      </c>
      <c r="E65" s="34">
        <f t="shared" si="3"/>
        <v>75</v>
      </c>
      <c r="F65" s="34">
        <f t="shared" si="4"/>
        <v>-0.59999999999999987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3"/>
        <v>#DIV/0!</v>
      </c>
      <c r="F68" s="34">
        <f t="shared" si="4"/>
        <v>0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1.8</v>
      </c>
      <c r="E69" s="38">
        <f t="shared" si="3"/>
        <v>75</v>
      </c>
      <c r="F69" s="38">
        <f t="shared" si="4"/>
        <v>-0.59999999999999987</v>
      </c>
    </row>
    <row r="70" spans="1:7">
      <c r="A70" s="30" t="s">
        <v>58</v>
      </c>
      <c r="B70" s="31" t="s">
        <v>59</v>
      </c>
      <c r="C70" s="48">
        <f>SUM(C71:C74)</f>
        <v>2668.8626799999997</v>
      </c>
      <c r="D70" s="48">
        <f>SUM(D71:D74)</f>
        <v>2539.0915399999999</v>
      </c>
      <c r="E70" s="34">
        <f t="shared" ref="E70:E85" si="5">SUM(D70/C70*100)</f>
        <v>95.137586471852501</v>
      </c>
      <c r="F70" s="34">
        <f t="shared" ref="F70:F85" si="6">SUM(D70-C70)</f>
        <v>-129.77113999999983</v>
      </c>
    </row>
    <row r="71" spans="1:7" s="6" customFormat="1" ht="17.25" customHeight="1">
      <c r="A71" s="35" t="s">
        <v>60</v>
      </c>
      <c r="B71" s="39" t="s">
        <v>61</v>
      </c>
      <c r="C71" s="49">
        <v>16.25</v>
      </c>
      <c r="D71" s="37">
        <v>3.75</v>
      </c>
      <c r="E71" s="38">
        <f t="shared" si="5"/>
        <v>23.076923076923077</v>
      </c>
      <c r="F71" s="38">
        <f t="shared" si="6"/>
        <v>-12.5</v>
      </c>
      <c r="G71" s="50"/>
    </row>
    <row r="72" spans="1:7">
      <c r="A72" s="35" t="s">
        <v>62</v>
      </c>
      <c r="B72" s="39" t="s">
        <v>63</v>
      </c>
      <c r="C72" s="49">
        <v>438.5</v>
      </c>
      <c r="D72" s="37">
        <v>424.35595999999998</v>
      </c>
      <c r="E72" s="38">
        <f t="shared" si="5"/>
        <v>96.774449258836938</v>
      </c>
      <c r="F72" s="38">
        <f t="shared" si="6"/>
        <v>-14.144040000000018</v>
      </c>
    </row>
    <row r="73" spans="1:7">
      <c r="A73" s="35" t="s">
        <v>64</v>
      </c>
      <c r="B73" s="39" t="s">
        <v>65</v>
      </c>
      <c r="C73" s="49">
        <v>2200.5126799999998</v>
      </c>
      <c r="D73" s="37">
        <v>2108.98558</v>
      </c>
      <c r="E73" s="38">
        <f t="shared" si="5"/>
        <v>95.840646553329563</v>
      </c>
      <c r="F73" s="38">
        <f t="shared" si="6"/>
        <v>-91.527099999999791</v>
      </c>
    </row>
    <row r="74" spans="1:7" s="6" customFormat="1">
      <c r="A74" s="35" t="s">
        <v>66</v>
      </c>
      <c r="B74" s="39" t="s">
        <v>67</v>
      </c>
      <c r="C74" s="49">
        <v>13.6</v>
      </c>
      <c r="D74" s="37">
        <v>2</v>
      </c>
      <c r="E74" s="38">
        <f t="shared" si="5"/>
        <v>14.705882352941178</v>
      </c>
      <c r="F74" s="38">
        <f t="shared" si="6"/>
        <v>-11.6</v>
      </c>
    </row>
    <row r="75" spans="1:7" ht="17.25" customHeight="1">
      <c r="A75" s="30" t="s">
        <v>68</v>
      </c>
      <c r="B75" s="31" t="s">
        <v>69</v>
      </c>
      <c r="C75" s="32">
        <f>SUM(C76:C78)</f>
        <v>1092.3820000000001</v>
      </c>
      <c r="D75" s="32">
        <f>SUM(D76:D78)</f>
        <v>829.24625000000003</v>
      </c>
      <c r="E75" s="34">
        <f t="shared" si="5"/>
        <v>75.911746074175511</v>
      </c>
      <c r="F75" s="34">
        <f t="shared" si="6"/>
        <v>-263.13575000000003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1092.3820000000001</v>
      </c>
      <c r="D78" s="37">
        <v>829.24625000000003</v>
      </c>
      <c r="E78" s="38">
        <f t="shared" si="5"/>
        <v>75.911746074175511</v>
      </c>
      <c r="F78" s="38">
        <f t="shared" si="6"/>
        <v>-263.13575000000003</v>
      </c>
    </row>
    <row r="79" spans="1:7">
      <c r="A79" s="30" t="s">
        <v>86</v>
      </c>
      <c r="B79" s="31" t="s">
        <v>87</v>
      </c>
      <c r="C79" s="32">
        <f>C80</f>
        <v>2124.5</v>
      </c>
      <c r="D79" s="32">
        <f>D80</f>
        <v>1791.7</v>
      </c>
      <c r="E79" s="34">
        <f t="shared" si="5"/>
        <v>84.335137679453993</v>
      </c>
      <c r="F79" s="34">
        <f t="shared" si="6"/>
        <v>-332.79999999999995</v>
      </c>
    </row>
    <row r="80" spans="1:7" s="6" customFormat="1" ht="15" customHeight="1">
      <c r="A80" s="35" t="s">
        <v>88</v>
      </c>
      <c r="B80" s="39" t="s">
        <v>234</v>
      </c>
      <c r="C80" s="37">
        <v>2124.5</v>
      </c>
      <c r="D80" s="37">
        <v>1791.7</v>
      </c>
      <c r="E80" s="38">
        <f t="shared" si="5"/>
        <v>84.335137679453993</v>
      </c>
      <c r="F80" s="38">
        <f t="shared" si="6"/>
        <v>-332.79999999999995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0</v>
      </c>
      <c r="D86" s="32">
        <f>D87+D88+D89+D90+D91</f>
        <v>0</v>
      </c>
      <c r="E86" s="38" t="e">
        <f t="shared" ref="E86:E96" si="7">SUM(D86/C86*100)</f>
        <v>#DIV/0!</v>
      </c>
      <c r="F86" s="22">
        <f>F87+F88+F89+F90+F91</f>
        <v>0</v>
      </c>
    </row>
    <row r="87" spans="1:6" ht="15.75" customHeight="1">
      <c r="A87" s="35" t="s">
        <v>97</v>
      </c>
      <c r="B87" s="39" t="s">
        <v>98</v>
      </c>
      <c r="C87" s="37">
        <v>0</v>
      </c>
      <c r="D87" s="37">
        <v>0</v>
      </c>
      <c r="E87" s="38" t="e">
        <f t="shared" si="7"/>
        <v>#DIV/0!</v>
      </c>
      <c r="F87" s="38">
        <f>SUM(D87-C87)</f>
        <v>0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93">
        <f>C55+C63+C65+C70+C75+C79+C81+C86+C92</f>
        <v>7662.7936799999989</v>
      </c>
      <c r="D96" s="407">
        <f>D55+D63+D65+D70+D75+D79+D81+D86+D92</f>
        <v>6647.2306699999999</v>
      </c>
      <c r="E96" s="34">
        <f t="shared" si="7"/>
        <v>86.746830824238003</v>
      </c>
      <c r="F96" s="34">
        <f>SUM(D96-C96)</f>
        <v>-1015.5630099999989</v>
      </c>
    </row>
    <row r="97" spans="1:6" s="65" customFormat="1" ht="22.5" customHeight="1">
      <c r="A97" s="63" t="s">
        <v>120</v>
      </c>
      <c r="B97" s="63"/>
      <c r="C97" s="249"/>
      <c r="D97" s="249"/>
    </row>
    <row r="98" spans="1:6" ht="16.5" customHeight="1">
      <c r="A98" s="66" t="s">
        <v>121</v>
      </c>
      <c r="B98" s="66"/>
      <c r="C98" s="249" t="s">
        <v>122</v>
      </c>
      <c r="D98" s="249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AEB392BF-DA26-444D-A19F-E51C57137A4D}" hiddenRows="1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0CE22D-C12F-4E12-8BB9-3AAE0A6991CC}" scale="70" showPageBreaks="1" hiddenRows="1" view="pageBreakPreview" topLeftCell="A9">
      <selection activeCell="C96" sqref="C96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5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5BFCA170-DEAE-4D2C-98A0-1E68B427AC01}" showPageBreaks="1" hiddenRows="1">
      <selection activeCell="B100" sqref="B100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topLeftCell="A19" zoomScaleNormal="100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425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4276.0099999999993</v>
      </c>
      <c r="D4" s="5">
        <f>D5+D12+D14+D7+D20+D17</f>
        <v>3809.9190600000002</v>
      </c>
      <c r="E4" s="5">
        <f>SUM(D4/C4*100)</f>
        <v>89.099863190217064</v>
      </c>
      <c r="F4" s="5">
        <f>SUM(D4-C4)</f>
        <v>-466.09093999999914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1518.1426899999999</v>
      </c>
      <c r="E5" s="5">
        <f t="shared" ref="E5:E51" si="0">SUM(D5/C5*100)</f>
        <v>93.470181627878333</v>
      </c>
      <c r="F5" s="5">
        <f t="shared" ref="F5:F51" si="1">SUM(D5-C5)</f>
        <v>-106.05731000000014</v>
      </c>
    </row>
    <row r="6" spans="1:6">
      <c r="A6" s="7">
        <v>1010200001</v>
      </c>
      <c r="B6" s="8" t="s">
        <v>229</v>
      </c>
      <c r="C6" s="91">
        <v>1624.2</v>
      </c>
      <c r="D6" s="10">
        <v>1518.1426899999999</v>
      </c>
      <c r="E6" s="9">
        <f t="shared" ref="E6:E11" si="2">SUM(D6/C6*100)</f>
        <v>93.470181627878333</v>
      </c>
      <c r="F6" s="9">
        <f t="shared" si="1"/>
        <v>-106.05731000000014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338.9846</v>
      </c>
      <c r="E7" s="9">
        <f t="shared" si="2"/>
        <v>96.82231298734682</v>
      </c>
      <c r="F7" s="9">
        <f t="shared" si="1"/>
        <v>-11.125400000000013</v>
      </c>
    </row>
    <row r="8" spans="1:6">
      <c r="A8" s="7">
        <v>1030223001</v>
      </c>
      <c r="B8" s="8" t="s">
        <v>283</v>
      </c>
      <c r="C8" s="9">
        <v>130.59</v>
      </c>
      <c r="D8" s="10">
        <v>150.69452999999999</v>
      </c>
      <c r="E8" s="9">
        <f t="shared" si="2"/>
        <v>115.39515276820582</v>
      </c>
      <c r="F8" s="9">
        <f t="shared" si="1"/>
        <v>20.104529999999983</v>
      </c>
    </row>
    <row r="9" spans="1:6">
      <c r="A9" s="7">
        <v>1030224001</v>
      </c>
      <c r="B9" s="8" t="s">
        <v>289</v>
      </c>
      <c r="C9" s="9">
        <v>1.4</v>
      </c>
      <c r="D9" s="10">
        <v>1.4303600000000001</v>
      </c>
      <c r="E9" s="9">
        <f t="shared" si="2"/>
        <v>102.16857142857143</v>
      </c>
      <c r="F9" s="9">
        <f t="shared" si="1"/>
        <v>3.0360000000000165E-2</v>
      </c>
    </row>
    <row r="10" spans="1:6">
      <c r="A10" s="7">
        <v>1030225001</v>
      </c>
      <c r="B10" s="8" t="s">
        <v>282</v>
      </c>
      <c r="C10" s="9">
        <v>218.12</v>
      </c>
      <c r="D10" s="10">
        <v>220.47975</v>
      </c>
      <c r="E10" s="9">
        <f t="shared" si="2"/>
        <v>101.08185860993947</v>
      </c>
      <c r="F10" s="9">
        <f t="shared" si="1"/>
        <v>2.3597499999999911</v>
      </c>
    </row>
    <row r="11" spans="1:6">
      <c r="A11" s="7">
        <v>1030226001</v>
      </c>
      <c r="B11" s="8" t="s">
        <v>291</v>
      </c>
      <c r="C11" s="9">
        <v>0</v>
      </c>
      <c r="D11" s="10">
        <v>-33.620040000000003</v>
      </c>
      <c r="E11" s="9" t="e">
        <f t="shared" si="2"/>
        <v>#DIV/0!</v>
      </c>
      <c r="F11" s="9">
        <f t="shared" si="1"/>
        <v>-33.620040000000003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75.141949999999994</v>
      </c>
      <c r="E12" s="5">
        <f t="shared" si="0"/>
        <v>100.18926666666665</v>
      </c>
      <c r="F12" s="5">
        <f t="shared" si="1"/>
        <v>0.14194999999999425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75.141949999999994</v>
      </c>
      <c r="E13" s="9">
        <f t="shared" si="0"/>
        <v>100.18926666666665</v>
      </c>
      <c r="F13" s="9">
        <f t="shared" si="1"/>
        <v>0.14194999999999425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1877.6498200000001</v>
      </c>
      <c r="E14" s="5">
        <f t="shared" si="0"/>
        <v>84.324328378317702</v>
      </c>
      <c r="F14" s="5">
        <f t="shared" si="1"/>
        <v>-349.05017999999973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576.99014</v>
      </c>
      <c r="E15" s="9">
        <f t="shared" si="0"/>
        <v>104.90729818181819</v>
      </c>
      <c r="F15" s="9">
        <f>SUM(D15-C15)</f>
        <v>26.990139999999997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1300.65968</v>
      </c>
      <c r="E16" s="9">
        <f t="shared" si="0"/>
        <v>77.572593785411811</v>
      </c>
      <c r="F16" s="9">
        <f t="shared" si="1"/>
        <v>-376.04032000000007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20.973880000000001</v>
      </c>
      <c r="E25" s="5">
        <f t="shared" si="0"/>
        <v>104.8694</v>
      </c>
      <c r="F25" s="5">
        <f t="shared" si="1"/>
        <v>0.97388000000000119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0.17016000000000001</v>
      </c>
      <c r="E26" s="5">
        <f t="shared" si="0"/>
        <v>1.7016</v>
      </c>
      <c r="F26" s="5">
        <f t="shared" si="1"/>
        <v>-9.8298400000000008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0.17016000000000001</v>
      </c>
      <c r="E27" s="9" t="e">
        <f t="shared" si="0"/>
        <v>#DIV/0!</v>
      </c>
      <c r="F27" s="9">
        <f t="shared" si="1"/>
        <v>0.17016000000000001</v>
      </c>
    </row>
    <row r="28" spans="1:6">
      <c r="A28" s="7">
        <v>1110503505</v>
      </c>
      <c r="B28" s="11" t="s">
        <v>225</v>
      </c>
      <c r="C28" s="12">
        <v>10</v>
      </c>
      <c r="D28" s="10"/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23.957180000000001</v>
      </c>
      <c r="E34" s="5" t="e">
        <f t="shared" si="0"/>
        <v>#DIV/0!</v>
      </c>
      <c r="F34" s="5">
        <f t="shared" si="1"/>
        <v>23.957180000000001</v>
      </c>
    </row>
    <row r="35" spans="1:7" ht="47.25">
      <c r="A35" s="7">
        <v>1163305010</v>
      </c>
      <c r="B35" s="8" t="s">
        <v>268</v>
      </c>
      <c r="C35" s="9">
        <v>0</v>
      </c>
      <c r="D35" s="10">
        <v>23.957180000000001</v>
      </c>
      <c r="E35" s="9" t="e">
        <f t="shared" si="0"/>
        <v>#DIV/0!</v>
      </c>
      <c r="F35" s="9">
        <f t="shared" si="1"/>
        <v>23.957180000000001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4296.0099999999993</v>
      </c>
      <c r="D39" s="127">
        <f>D4+D25</f>
        <v>3830.8929400000002</v>
      </c>
      <c r="E39" s="5">
        <f t="shared" si="0"/>
        <v>89.173277995162977</v>
      </c>
      <c r="F39" s="5">
        <f t="shared" si="1"/>
        <v>-465.11705999999913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4910.0419999999995</v>
      </c>
      <c r="D40" s="5">
        <f>D41+D43+D45+D46+D47+D49+D42+D48</f>
        <v>4538.7004900000002</v>
      </c>
      <c r="E40" s="5">
        <f t="shared" si="0"/>
        <v>92.437101149032955</v>
      </c>
      <c r="F40" s="5">
        <f t="shared" si="1"/>
        <v>-371.34150999999929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4243.6350000000002</v>
      </c>
      <c r="E41" s="9">
        <f t="shared" si="0"/>
        <v>94.039355442608013</v>
      </c>
      <c r="F41" s="9">
        <f t="shared" si="1"/>
        <v>-268.98099999999977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9">
        <v>261.73</v>
      </c>
      <c r="D43" s="10">
        <v>171.66</v>
      </c>
      <c r="E43" s="9">
        <f t="shared" si="0"/>
        <v>65.586673289267566</v>
      </c>
      <c r="F43" s="9">
        <f t="shared" si="1"/>
        <v>-90.070000000000022</v>
      </c>
    </row>
    <row r="44" spans="1:7" ht="0.75" hidden="1" customHeight="1">
      <c r="A44" s="16">
        <v>2022999910</v>
      </c>
      <c r="B44" s="18" t="s">
        <v>352</v>
      </c>
      <c r="C44" s="279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1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2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2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7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89">
        <f>SUM(C39,C40,C50)</f>
        <v>9206.0519999999997</v>
      </c>
      <c r="D51" s="390">
        <f>D39+D40</f>
        <v>8369.5934300000008</v>
      </c>
      <c r="E51" s="93">
        <f t="shared" si="0"/>
        <v>90.914036005879623</v>
      </c>
      <c r="F51" s="93">
        <f t="shared" si="1"/>
        <v>-836.45856999999887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-50.512169999999969</v>
      </c>
      <c r="D52" s="93">
        <f>D51-D97</f>
        <v>524.490600000001</v>
      </c>
      <c r="E52" s="281"/>
      <c r="F52" s="281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417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1928.9889599999999</v>
      </c>
      <c r="D56" s="33">
        <f>D57+D58+D59+D60+D61+D63+D62</f>
        <v>1627.1770299999998</v>
      </c>
      <c r="E56" s="34">
        <f>SUM(D56/C56*100)</f>
        <v>84.353879868757772</v>
      </c>
      <c r="F56" s="34">
        <f>SUM(D56-C56)</f>
        <v>-301.81193000000007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1814.94796</v>
      </c>
      <c r="D58" s="37">
        <v>1522.6360299999999</v>
      </c>
      <c r="E58" s="38">
        <f t="shared" ref="E58:E97" si="3">SUM(D58/C58*100)</f>
        <v>83.894197715729547</v>
      </c>
      <c r="F58" s="38">
        <f t="shared" ref="F58:F97" si="4">SUM(D58-C58)</f>
        <v>-292.31193000000007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68.039000000000001</v>
      </c>
      <c r="E61" s="38">
        <f t="shared" si="3"/>
        <v>100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</v>
      </c>
      <c r="D62" s="40">
        <v>0</v>
      </c>
      <c r="E62" s="38">
        <f t="shared" si="3"/>
        <v>0</v>
      </c>
      <c r="F62" s="38">
        <f t="shared" si="4"/>
        <v>-2</v>
      </c>
    </row>
    <row r="63" spans="1:7" ht="15.75" customHeight="1">
      <c r="A63" s="35" t="s">
        <v>44</v>
      </c>
      <c r="B63" s="39" t="s">
        <v>45</v>
      </c>
      <c r="C63" s="97">
        <v>44.002000000000002</v>
      </c>
      <c r="D63" s="37">
        <v>36.502000000000002</v>
      </c>
      <c r="E63" s="38">
        <f t="shared" si="3"/>
        <v>82.955320212717609</v>
      </c>
      <c r="F63" s="38">
        <f t="shared" si="4"/>
        <v>-7.5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15</v>
      </c>
      <c r="D66" s="150">
        <f>D69+D70</f>
        <v>0</v>
      </c>
      <c r="E66" s="34">
        <f t="shared" si="3"/>
        <v>0</v>
      </c>
      <c r="F66" s="34">
        <f t="shared" si="4"/>
        <v>-15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10</v>
      </c>
      <c r="D69" s="37">
        <v>0</v>
      </c>
      <c r="E69" s="34">
        <f t="shared" si="3"/>
        <v>0</v>
      </c>
      <c r="F69" s="34">
        <f t="shared" si="4"/>
        <v>-10</v>
      </c>
    </row>
    <row r="70" spans="1:7" ht="17.25" customHeight="1">
      <c r="A70" s="46" t="s">
        <v>219</v>
      </c>
      <c r="B70" s="47" t="s">
        <v>220</v>
      </c>
      <c r="C70" s="9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1596.5611699999999</v>
      </c>
      <c r="D71" s="48">
        <f>SUM(D72:D75)</f>
        <v>894.82475999999997</v>
      </c>
      <c r="E71" s="34">
        <f t="shared" si="3"/>
        <v>56.047007581926842</v>
      </c>
      <c r="F71" s="34">
        <f t="shared" si="4"/>
        <v>-701.73640999999998</v>
      </c>
    </row>
    <row r="72" spans="1:7" ht="15" customHeight="1">
      <c r="A72" s="35" t="s">
        <v>60</v>
      </c>
      <c r="B72" s="39" t="s">
        <v>61</v>
      </c>
      <c r="C72" s="49">
        <v>35</v>
      </c>
      <c r="D72" s="37">
        <v>7.8005000000000004</v>
      </c>
      <c r="E72" s="38">
        <f t="shared" si="3"/>
        <v>22.287142857142857</v>
      </c>
      <c r="F72" s="38">
        <f t="shared" si="4"/>
        <v>-27.1995</v>
      </c>
    </row>
    <row r="73" spans="1:7" s="6" customFormat="1" ht="15.75" customHeight="1">
      <c r="A73" s="35" t="s">
        <v>62</v>
      </c>
      <c r="B73" s="39" t="s">
        <v>63</v>
      </c>
      <c r="C73" s="49">
        <v>496.90899999999999</v>
      </c>
      <c r="D73" s="37">
        <v>367.00655</v>
      </c>
      <c r="E73" s="38">
        <f t="shared" si="3"/>
        <v>73.857899534924911</v>
      </c>
      <c r="F73" s="38">
        <f t="shared" si="4"/>
        <v>-129.90244999999999</v>
      </c>
      <c r="G73" s="50"/>
    </row>
    <row r="74" spans="1:7" ht="15" customHeight="1">
      <c r="A74" s="35" t="s">
        <v>64</v>
      </c>
      <c r="B74" s="39" t="s">
        <v>65</v>
      </c>
      <c r="C74" s="49">
        <v>752.65216999999996</v>
      </c>
      <c r="D74" s="37">
        <v>384.95416999999998</v>
      </c>
      <c r="E74" s="38">
        <f t="shared" si="3"/>
        <v>51.146357553184231</v>
      </c>
      <c r="F74" s="38">
        <f t="shared" si="4"/>
        <v>-367.69799999999998</v>
      </c>
    </row>
    <row r="75" spans="1:7" ht="18" customHeight="1">
      <c r="A75" s="35" t="s">
        <v>66</v>
      </c>
      <c r="B75" s="39" t="s">
        <v>67</v>
      </c>
      <c r="C75" s="49">
        <v>312</v>
      </c>
      <c r="D75" s="37">
        <v>135.06353999999999</v>
      </c>
      <c r="E75" s="38">
        <f t="shared" si="3"/>
        <v>43.289596153846148</v>
      </c>
      <c r="F75" s="38">
        <f t="shared" si="4"/>
        <v>-176.93646000000001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3341.7140399999998</v>
      </c>
      <c r="D76" s="32">
        <f>D77+D78+D79+D82</f>
        <v>2948.8010399999998</v>
      </c>
      <c r="E76" s="34">
        <f t="shared" si="3"/>
        <v>88.2421716730735</v>
      </c>
      <c r="F76" s="34">
        <f t="shared" si="4"/>
        <v>-392.91300000000001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3341.7140399999998</v>
      </c>
      <c r="D79" s="37">
        <v>2948.8010399999998</v>
      </c>
      <c r="E79" s="38">
        <f t="shared" si="3"/>
        <v>88.2421716730735</v>
      </c>
      <c r="F79" s="38">
        <f t="shared" si="4"/>
        <v>-392.91300000000001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2374.3000000000002</v>
      </c>
      <c r="E80" s="38">
        <f t="shared" si="3"/>
        <v>100</v>
      </c>
      <c r="F80" s="38">
        <f t="shared" si="4"/>
        <v>0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2374.3000000000002</v>
      </c>
      <c r="E81" s="38">
        <f t="shared" si="3"/>
        <v>100</v>
      </c>
      <c r="F81" s="38">
        <f t="shared" si="4"/>
        <v>0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5.75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39"/>
      <c r="D95" s="240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93">
        <f>C56+C71+C76+C83+C88+C94+C66+C80</f>
        <v>9256.5641699999996</v>
      </c>
      <c r="D97" s="393">
        <f>D56+D71+D76+D83+D88+D94+D66+D80</f>
        <v>7845.1028299999998</v>
      </c>
      <c r="E97" s="34">
        <f t="shared" si="3"/>
        <v>84.751779233870963</v>
      </c>
      <c r="F97" s="34">
        <f t="shared" si="4"/>
        <v>-1411.4613399999998</v>
      </c>
      <c r="G97" s="293"/>
    </row>
    <row r="98" spans="1:7" ht="20.25" customHeight="1">
      <c r="D98" s="245"/>
    </row>
    <row r="99" spans="1:7" s="65" customFormat="1" ht="13.5" customHeight="1">
      <c r="A99" s="63" t="s">
        <v>120</v>
      </c>
      <c r="B99" s="63"/>
      <c r="C99" s="119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 ht="5.25" customHeight="1"/>
  </sheetData>
  <customSheetViews>
    <customSheetView guid="{AEB392BF-DA26-444D-A19F-E51C57137A4D}" hiddenRows="1" topLeftCell="A19">
      <selection activeCell="D28" sqref="D28"/>
      <pageMargins left="0.7" right="0.7" top="0.75" bottom="0.75" header="0.3" footer="0.3"/>
      <pageSetup paperSize="9" scale="50" orientation="portrait" r:id="rId1"/>
    </customSheetView>
    <customSheetView guid="{B30CE22D-C12F-4E12-8BB9-3AAE0A6991CC}" scale="70" showPageBreaks="1" printArea="1" hiddenRows="1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4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19">
      <selection activeCell="D28" sqref="D28"/>
      <pageMargins left="0.7" right="0.7" top="0.75" bottom="0.75" header="0.3" footer="0.3"/>
      <pageSetup paperSize="9" scale="50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8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topLeftCell="A4" zoomScale="70" zoomScaleNormal="100" zoomScaleSheetLayoutView="70" workbookViewId="0">
      <selection activeCell="C47" sqref="C4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3" t="s">
        <v>426</v>
      </c>
      <c r="B1" s="513"/>
      <c r="C1" s="513"/>
      <c r="D1" s="513"/>
      <c r="E1" s="513"/>
      <c r="F1" s="513"/>
    </row>
    <row r="2" spans="1:6">
      <c r="A2" s="513"/>
      <c r="B2" s="513"/>
      <c r="C2" s="513"/>
      <c r="D2" s="513"/>
      <c r="E2" s="513"/>
      <c r="F2" s="513"/>
    </row>
    <row r="3" spans="1:6" ht="63">
      <c r="A3" s="2" t="s">
        <v>1</v>
      </c>
      <c r="B3" s="2" t="s">
        <v>2</v>
      </c>
      <c r="C3" s="72" t="s">
        <v>346</v>
      </c>
      <c r="D3" s="73" t="s">
        <v>421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4831.7</v>
      </c>
      <c r="D4" s="5">
        <f>D5+D12+D14+D17+D20+D7</f>
        <v>4299.4490700000006</v>
      </c>
      <c r="E4" s="5">
        <f>SUM(D4/C4*100)</f>
        <v>88.98418920876712</v>
      </c>
      <c r="F4" s="5">
        <f>SUM(D4-C4)</f>
        <v>-532.25092999999924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1112.40716</v>
      </c>
      <c r="E5" s="5">
        <f t="shared" ref="E5:E51" si="0">SUM(D5/C5*100)</f>
        <v>84.923059775555373</v>
      </c>
      <c r="F5" s="5">
        <f t="shared" ref="F5:F51" si="1">SUM(D5-C5)</f>
        <v>-197.49284000000011</v>
      </c>
    </row>
    <row r="6" spans="1:6">
      <c r="A6" s="7">
        <v>1010200001</v>
      </c>
      <c r="B6" s="8" t="s">
        <v>229</v>
      </c>
      <c r="C6" s="9">
        <v>1309.9000000000001</v>
      </c>
      <c r="D6" s="10">
        <v>1112.40716</v>
      </c>
      <c r="E6" s="9">
        <f t="shared" ref="E6:E11" si="2">SUM(D6/C6*100)</f>
        <v>84.923059775555373</v>
      </c>
      <c r="F6" s="9">
        <f t="shared" si="1"/>
        <v>-197.49284000000011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640.76360999999997</v>
      </c>
      <c r="E7" s="9">
        <f t="shared" si="2"/>
        <v>96.82133726201269</v>
      </c>
      <c r="F7" s="9">
        <f t="shared" si="1"/>
        <v>-21.036389999999983</v>
      </c>
    </row>
    <row r="8" spans="1:6">
      <c r="A8" s="7">
        <v>1030223001</v>
      </c>
      <c r="B8" s="8" t="s">
        <v>283</v>
      </c>
      <c r="C8" s="9">
        <v>246.85</v>
      </c>
      <c r="D8" s="10">
        <v>284.84944000000002</v>
      </c>
      <c r="E8" s="9">
        <f t="shared" si="2"/>
        <v>115.39373708729998</v>
      </c>
      <c r="F8" s="9">
        <f t="shared" si="1"/>
        <v>37.999440000000021</v>
      </c>
    </row>
    <row r="9" spans="1:6">
      <c r="A9" s="7">
        <v>1030224001</v>
      </c>
      <c r="B9" s="8" t="s">
        <v>289</v>
      </c>
      <c r="C9" s="9">
        <v>2.65</v>
      </c>
      <c r="D9" s="10">
        <v>2.7037300000000002</v>
      </c>
      <c r="E9" s="9">
        <f t="shared" si="2"/>
        <v>102.02754716981133</v>
      </c>
      <c r="F9" s="9">
        <f t="shared" si="1"/>
        <v>5.3730000000000278E-2</v>
      </c>
    </row>
    <row r="10" spans="1:6">
      <c r="A10" s="7">
        <v>1030225001</v>
      </c>
      <c r="B10" s="8" t="s">
        <v>282</v>
      </c>
      <c r="C10" s="9">
        <v>412.3</v>
      </c>
      <c r="D10" s="10">
        <v>416.76051000000001</v>
      </c>
      <c r="E10" s="9">
        <f t="shared" si="2"/>
        <v>101.08186029590105</v>
      </c>
      <c r="F10" s="9">
        <f t="shared" si="1"/>
        <v>4.4605099999999993</v>
      </c>
    </row>
    <row r="11" spans="1:6">
      <c r="A11" s="7">
        <v>1030226001</v>
      </c>
      <c r="B11" s="8" t="s">
        <v>292</v>
      </c>
      <c r="C11" s="9">
        <v>0</v>
      </c>
      <c r="D11" s="10">
        <v>-63.550069999999998</v>
      </c>
      <c r="E11" s="9" t="e">
        <f t="shared" si="2"/>
        <v>#DIV/0!</v>
      </c>
      <c r="F11" s="9">
        <f t="shared" si="1"/>
        <v>-63.550069999999998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2840</v>
      </c>
      <c r="D14" s="5">
        <f>D15+D16</f>
        <v>2509.4859000000001</v>
      </c>
      <c r="E14" s="5">
        <f t="shared" si="0"/>
        <v>88.362179577464801</v>
      </c>
      <c r="F14" s="5">
        <f t="shared" si="1"/>
        <v>-330.51409999999987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151.89312000000001</v>
      </c>
      <c r="E15" s="9">
        <f t="shared" si="0"/>
        <v>79.943747368421057</v>
      </c>
      <c r="F15" s="9">
        <f>SUM(D15-C15)</f>
        <v>-38.10687999999999</v>
      </c>
    </row>
    <row r="16" spans="1:6" ht="15.75" customHeight="1">
      <c r="A16" s="7">
        <v>1060600000</v>
      </c>
      <c r="B16" s="11" t="s">
        <v>8</v>
      </c>
      <c r="C16" s="9">
        <v>2650</v>
      </c>
      <c r="D16" s="10">
        <v>2357.5927799999999</v>
      </c>
      <c r="E16" s="9">
        <f t="shared" si="0"/>
        <v>88.965765283018854</v>
      </c>
      <c r="F16" s="9">
        <f t="shared" si="1"/>
        <v>-292.40722000000005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8.35</v>
      </c>
      <c r="E17" s="5">
        <f t="shared" si="0"/>
        <v>83.5</v>
      </c>
      <c r="F17" s="5">
        <f t="shared" si="1"/>
        <v>-1.6500000000000004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8.35</v>
      </c>
      <c r="E18" s="9">
        <f t="shared" si="0"/>
        <v>83.5</v>
      </c>
      <c r="F18" s="9">
        <f t="shared" si="1"/>
        <v>-1.6500000000000004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4833.7</v>
      </c>
      <c r="D39" s="127">
        <f>SUM(D4,D25)</f>
        <v>4299.1956800000007</v>
      </c>
      <c r="E39" s="5">
        <f t="shared" si="0"/>
        <v>88.942128804021777</v>
      </c>
      <c r="F39" s="5">
        <f t="shared" si="1"/>
        <v>-534.5043199999991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1921.288</v>
      </c>
      <c r="D40" s="5">
        <f>D41+D43+D45+D46+D47+D48+D42+D44+D50</f>
        <v>1459.84987</v>
      </c>
      <c r="E40" s="5">
        <f t="shared" si="0"/>
        <v>75.982875550151775</v>
      </c>
      <c r="F40" s="5">
        <f t="shared" si="1"/>
        <v>-461.43813</v>
      </c>
      <c r="G40" s="19"/>
    </row>
    <row r="41" spans="1:7" ht="15.75" customHeight="1">
      <c r="A41" s="16">
        <v>2021000000</v>
      </c>
      <c r="B41" s="17" t="s">
        <v>21</v>
      </c>
      <c r="C41" s="12">
        <v>35.76</v>
      </c>
      <c r="D41" s="20">
        <v>35.453000000000003</v>
      </c>
      <c r="E41" s="9">
        <f t="shared" si="0"/>
        <v>99.141498881431772</v>
      </c>
      <c r="F41" s="9">
        <f t="shared" si="1"/>
        <v>-0.30699999999999505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1336.52</v>
      </c>
      <c r="D43" s="10">
        <v>978.74787000000003</v>
      </c>
      <c r="E43" s="9">
        <f t="shared" si="0"/>
        <v>73.231067997486008</v>
      </c>
      <c r="F43" s="9">
        <f t="shared" si="1"/>
        <v>-357.77212999999995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174.108</v>
      </c>
      <c r="D45" s="251">
        <v>170.749</v>
      </c>
      <c r="E45" s="9">
        <f t="shared" si="0"/>
        <v>98.070737703034894</v>
      </c>
      <c r="F45" s="9">
        <f t="shared" si="1"/>
        <v>-3.3590000000000089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5" customHeight="1">
      <c r="A47" s="16">
        <v>2020900000</v>
      </c>
      <c r="B47" s="18" t="s">
        <v>25</v>
      </c>
      <c r="C47" s="12">
        <v>100</v>
      </c>
      <c r="D47" s="252">
        <v>0</v>
      </c>
      <c r="E47" s="9">
        <f t="shared" si="0"/>
        <v>0</v>
      </c>
      <c r="F47" s="9">
        <f t="shared" si="1"/>
        <v>-100</v>
      </c>
    </row>
    <row r="48" spans="1:7" ht="15.75" customHeight="1">
      <c r="A48" s="7">
        <v>2190500005</v>
      </c>
      <c r="B48" s="11" t="s">
        <v>26</v>
      </c>
      <c r="C48" s="14">
        <v>0</v>
      </c>
      <c r="D48" s="14">
        <v>0</v>
      </c>
      <c r="E48" s="5" t="e">
        <f>SUM(D48/C48*100)</f>
        <v>#DIV/0!</v>
      </c>
      <c r="F48" s="5">
        <f>SUM(D48-C48)</f>
        <v>0</v>
      </c>
    </row>
    <row r="49" spans="1:7" s="6" customFormat="1" ht="15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389">
        <f>C39+C40</f>
        <v>6754.9879999999994</v>
      </c>
      <c r="D51" s="390">
        <f>D39+D40</f>
        <v>5759.0455500000007</v>
      </c>
      <c r="E51" s="5">
        <f t="shared" si="0"/>
        <v>85.256192164960197</v>
      </c>
      <c r="F51" s="5">
        <f t="shared" si="1"/>
        <v>-995.94244999999864</v>
      </c>
      <c r="G51" s="94"/>
    </row>
    <row r="52" spans="1:7" s="6" customFormat="1">
      <c r="A52" s="3"/>
      <c r="B52" s="21" t="s">
        <v>322</v>
      </c>
      <c r="C52" s="93">
        <f>C51-C101</f>
        <v>-328.24601000000075</v>
      </c>
      <c r="D52" s="93">
        <f>D51-D101</f>
        <v>410.91853000000083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42.75" customHeight="1">
      <c r="A54" s="28" t="s">
        <v>1</v>
      </c>
      <c r="B54" s="28" t="s">
        <v>29</v>
      </c>
      <c r="C54" s="243" t="s">
        <v>346</v>
      </c>
      <c r="D54" s="244" t="s">
        <v>417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1836.9563800000001</v>
      </c>
      <c r="D56" s="32">
        <f>D57+D58+D59+D60+D61+D63+D62</f>
        <v>1631.7192500000001</v>
      </c>
      <c r="E56" s="34">
        <f>SUM(D56/C56*100)</f>
        <v>88.827326972238723</v>
      </c>
      <c r="F56" s="34">
        <f>SUM(D56-C56)</f>
        <v>-205.23712999999998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1808.37538</v>
      </c>
      <c r="D58" s="37">
        <v>1610.22279</v>
      </c>
      <c r="E58" s="38">
        <f t="shared" ref="E58:E101" si="3">SUM(D58/C58*100)</f>
        <v>89.042507866923088</v>
      </c>
      <c r="F58" s="38">
        <f t="shared" ref="F58:F101" si="4">SUM(D58-C58)</f>
        <v>-198.15258999999992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16.698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6.883</v>
      </c>
      <c r="D63" s="37">
        <v>4.7984600000000004</v>
      </c>
      <c r="E63" s="38">
        <f t="shared" si="3"/>
        <v>69.714659305535392</v>
      </c>
      <c r="F63" s="38">
        <f t="shared" si="4"/>
        <v>-2.0845399999999996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139.81990999999999</v>
      </c>
      <c r="E64" s="34">
        <f t="shared" si="3"/>
        <v>81.886224809515724</v>
      </c>
      <c r="F64" s="34">
        <f t="shared" si="4"/>
        <v>-30.929090000000002</v>
      </c>
    </row>
    <row r="65" spans="1:7">
      <c r="A65" s="43" t="s">
        <v>48</v>
      </c>
      <c r="B65" s="44" t="s">
        <v>49</v>
      </c>
      <c r="C65" s="37">
        <v>170.749</v>
      </c>
      <c r="D65" s="37">
        <v>139.81990999999999</v>
      </c>
      <c r="E65" s="38">
        <f t="shared" si="3"/>
        <v>81.886224809515724</v>
      </c>
      <c r="F65" s="38">
        <f t="shared" si="4"/>
        <v>-30.929090000000002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11</v>
      </c>
      <c r="D66" s="32">
        <f>D69+D70</f>
        <v>2.4</v>
      </c>
      <c r="E66" s="34">
        <f t="shared" si="3"/>
        <v>21.818181818181817</v>
      </c>
      <c r="F66" s="34">
        <f t="shared" si="4"/>
        <v>-8.6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1</v>
      </c>
      <c r="D69" s="37">
        <v>0</v>
      </c>
      <c r="E69" s="34">
        <f t="shared" si="3"/>
        <v>0</v>
      </c>
      <c r="F69" s="34">
        <f t="shared" si="4"/>
        <v>-1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2.4</v>
      </c>
      <c r="E70" s="34">
        <f t="shared" si="3"/>
        <v>24</v>
      </c>
      <c r="F70" s="34">
        <f t="shared" si="4"/>
        <v>-7.6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2935.5740100000003</v>
      </c>
      <c r="D71" s="48">
        <f>SUM(D72:D75)</f>
        <v>2140.2371499999999</v>
      </c>
      <c r="E71" s="34">
        <f t="shared" si="3"/>
        <v>72.906938905621388</v>
      </c>
      <c r="F71" s="34">
        <f t="shared" si="4"/>
        <v>-795.33686000000034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5" customHeight="1">
      <c r="A73" s="35" t="s">
        <v>62</v>
      </c>
      <c r="B73" s="39" t="s">
        <v>63</v>
      </c>
      <c r="C73" s="49">
        <v>476.608</v>
      </c>
      <c r="D73" s="37">
        <v>308.27406999999999</v>
      </c>
      <c r="E73" s="38">
        <f t="shared" si="3"/>
        <v>64.680842537263331</v>
      </c>
      <c r="F73" s="38">
        <f t="shared" si="4"/>
        <v>-168.33393000000001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1831.96308</v>
      </c>
      <c r="E74" s="38">
        <f t="shared" si="3"/>
        <v>79.255462640352647</v>
      </c>
      <c r="F74" s="38">
        <f t="shared" si="4"/>
        <v>-479.50293000000011</v>
      </c>
    </row>
    <row r="75" spans="1:7">
      <c r="A75" s="35" t="s">
        <v>66</v>
      </c>
      <c r="B75" s="39" t="s">
        <v>67</v>
      </c>
      <c r="C75" s="49">
        <v>140</v>
      </c>
      <c r="D75" s="37">
        <v>0</v>
      </c>
      <c r="E75" s="38">
        <f t="shared" si="3"/>
        <v>0</v>
      </c>
      <c r="F75" s="38">
        <f t="shared" si="4"/>
        <v>-140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991.35461999999995</v>
      </c>
      <c r="D76" s="32">
        <f>SUM(D77:D80)</f>
        <v>590.55070999999998</v>
      </c>
      <c r="E76" s="34">
        <f t="shared" si="3"/>
        <v>59.570076951878228</v>
      </c>
      <c r="F76" s="34">
        <f t="shared" si="4"/>
        <v>-400.80390999999997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991.35461999999995</v>
      </c>
      <c r="D79" s="37">
        <v>590.55070999999998</v>
      </c>
      <c r="E79" s="38">
        <f t="shared" si="3"/>
        <v>59.570076951878228</v>
      </c>
      <c r="F79" s="38">
        <f t="shared" si="4"/>
        <v>-400.80390999999997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833.4</v>
      </c>
      <c r="E81" s="34">
        <f t="shared" si="3"/>
        <v>75.243770314192844</v>
      </c>
      <c r="F81" s="34">
        <f t="shared" si="4"/>
        <v>-274.19999999999993</v>
      </c>
    </row>
    <row r="82" spans="1:6" ht="18" hidden="1" customHeight="1">
      <c r="A82" s="35" t="s">
        <v>88</v>
      </c>
      <c r="B82" s="39" t="s">
        <v>234</v>
      </c>
      <c r="C82" s="37">
        <v>1107.5999999999999</v>
      </c>
      <c r="D82" s="37">
        <v>833.4</v>
      </c>
      <c r="E82" s="38">
        <f t="shared" si="3"/>
        <v>75.243770314192844</v>
      </c>
      <c r="F82" s="38">
        <f t="shared" si="4"/>
        <v>-274.19999999999993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30</v>
      </c>
      <c r="D91" s="32">
        <f>D92+D93+D94+D95+D96</f>
        <v>10</v>
      </c>
      <c r="E91" s="38">
        <f t="shared" si="3"/>
        <v>33.333333333333329</v>
      </c>
      <c r="F91" s="22">
        <f>F92+F93+F94+F95+F96</f>
        <v>-20</v>
      </c>
    </row>
    <row r="92" spans="1:6" ht="18.75" customHeight="1">
      <c r="A92" s="53">
        <v>1101</v>
      </c>
      <c r="B92" s="54" t="s">
        <v>98</v>
      </c>
      <c r="C92" s="37">
        <v>30</v>
      </c>
      <c r="D92" s="37">
        <v>10</v>
      </c>
      <c r="E92" s="38">
        <f t="shared" si="3"/>
        <v>33.333333333333329</v>
      </c>
      <c r="F92" s="38">
        <f>SUM(D92-C92)</f>
        <v>-20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93">
        <f>C56+C64+C66+C71+C76+C81+C84+C91+C97+C89</f>
        <v>7083.2340100000001</v>
      </c>
      <c r="D101" s="393">
        <f>D56+D64+D66+D71+D76+D81+D84+D91+D97+D89</f>
        <v>5348.1270199999999</v>
      </c>
      <c r="E101" s="34">
        <f t="shared" si="3"/>
        <v>75.504028420486975</v>
      </c>
      <c r="F101" s="34">
        <f t="shared" si="4"/>
        <v>-1735.1069900000002</v>
      </c>
    </row>
    <row r="102" spans="1:6">
      <c r="D102" s="245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AEB392BF-DA26-444D-A19F-E51C57137A4D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"/>
    </customSheetView>
    <customSheetView guid="{B30CE22D-C12F-4E12-8BB9-3AAE0A6991CC}" scale="70" showPageBreaks="1" hiddenRows="1" view="pageBreakPreview" topLeftCell="A13">
      <selection activeCell="C73" sqref="C73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4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2018-12-05T14:57:33Z</cp:lastPrinted>
  <dcterms:created xsi:type="dcterms:W3CDTF">1996-10-08T23:32:33Z</dcterms:created>
  <dcterms:modified xsi:type="dcterms:W3CDTF">2019-05-10T11:13:13Z</dcterms:modified>
</cp:coreProperties>
</file>