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worksheets/sheet16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Override PartName="/xl/worksheets/sheet21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2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Тор!$A$1:$F$102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район!$17:$18,район!$20:$20,район!$25:$25,район!$27:$31,район!$35:$35,район!$38:$38,район!$50:$51,район!$75:$75,район!$82:$82,район!$99:$99,район!$105:$105,район!$133:$135,район!$138:$139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Тор!$19:$24,Тор!$32:$36,Тор!$39:$39,Тор!$46:$47,Тор!$50:$50,Тор!$57:$57,Тор!$59:$61,Тор!$67:$68,Тор!$75:$75,Тор!$79:$80,Тор!$84:$96,Тор!$143:$143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Тор!$A$1:$F$102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район!$17:$18,район!$20:$20,район!$28:$30,район!$50:$51,район!$62:$62,район!$75:$75,район!$82:$82,район!$99:$99,район!$105:$105,район!$133:$135</definedName>
    <definedName name="Z_1A52382B_3765_4E8C_903F_6B8919B7242E_.wvu.Rows" localSheetId="1" hidden="1">Справка!$33:$33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Тор!$19:$24,Тор!$32:$39,Тор!$46:$47,Тор!$49:$50,Тор!$57:$57,Тор!$59:$60,Тор!$67:$68,Тор!$75:$75,Тор!$79:$80,Тор!$84:$96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Юсь!$20:$24,Юсь!$36:$36,Юсь!$40:$40,Юсь!$44:$49,Юсь!$58:$58,Юсь!$60:$61,Юсь!$68:$69,Юсь!$79:$80,Юсь!$84:$88,Юсь!$91:$98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5821C05_60FE_4C33_8558_8CF10812F6FC_.wvu.Cols" localSheetId="1" hidden="1">Справка!$AV:$AX,Справка!$BB:$BD,Справка!$BH:$BM,Справка!$BT:$BY,Справка!$CX:$DF</definedName>
    <definedName name="Z_35821C05_60FE_4C33_8558_8CF10812F6FC_.wvu.PrintArea" localSheetId="5" hidden="1">Иль!$A$1:$F$104</definedName>
    <definedName name="Z_35821C05_60FE_4C33_8558_8CF10812F6FC_.wvu.PrintArea" localSheetId="0" hidden="1">Консол!$A$1:$K$50</definedName>
    <definedName name="Z_35821C05_60FE_4C33_8558_8CF10812F6FC_.wvu.PrintArea" localSheetId="7" hidden="1">Мор!$A$1:$F$101</definedName>
    <definedName name="Z_35821C05_60FE_4C33_8558_8CF10812F6FC_.wvu.PrintArea" localSheetId="1" hidden="1">Справка!$A$1:$EY$31</definedName>
    <definedName name="Z_35821C05_60FE_4C33_8558_8CF10812F6FC_.wvu.PrintArea" localSheetId="11" hidden="1">Тор!$A$1:$F$102</definedName>
    <definedName name="Z_35821C05_60FE_4C33_8558_8CF10812F6FC_.wvu.PrintArea" localSheetId="15" hidden="1">Юнг!$A$1:$F$100</definedName>
    <definedName name="Z_35821C05_60FE_4C33_8558_8CF10812F6FC_.wvu.PrintArea" localSheetId="17" hidden="1">Яра!$A$1:$F$102</definedName>
    <definedName name="Z_35821C05_60FE_4C33_8558_8CF10812F6FC_.wvu.Rows" localSheetId="3" hidden="1">Але!$19:$24,Але!$44:$44,Але!$46:$46,Але!$53:$53,Але!$55:$56,Але!$63:$64,Але!$74:$75,Але!$79:$83,Але!$87:$89</definedName>
    <definedName name="Z_35821C05_60FE_4C33_8558_8CF10812F6FC_.wvu.Rows" localSheetId="5" hidden="1">Иль!$19:$24,Иль!$30:$31,Иль!$33:$33,Иль!$45:$45,Иль!$50:$50,Иль!$60:$61,Иль!$68:$69,Иль!$78:$79,Иль!$81:$81,Иль!$93:$97</definedName>
    <definedName name="Z_35821C05_60FE_4C33_8558_8CF10812F6FC_.wvu.Rows" localSheetId="6" hidden="1">Кад!$19:$24,Кад!$44:$44,Кад!$56:$56,Кад!$58:$59,Кад!$66:$67,Кад!$83:$85,Кад!$89:$96</definedName>
    <definedName name="Z_35821C05_60FE_4C33_8558_8CF10812F6FC_.wvu.Rows" localSheetId="0" hidden="1">Консол!$22:$22,Консол!$43:$45,Консол!$82:$84</definedName>
    <definedName name="Z_35821C05_60FE_4C33_8558_8CF10812F6FC_.wvu.Rows" localSheetId="19" hidden="1">Лист1!$82:$84</definedName>
    <definedName name="Z_35821C05_60FE_4C33_8558_8CF10812F6FC_.wvu.Rows" localSheetId="7" hidden="1">Мор!$21:$21,Мор!$23:$23,Мор!$37:$37,Мор!$44:$44,Мор!$47:$47,Мор!$49:$50,Мор!$57:$57,Мор!$59:$60,Мор!$67:$68,Мор!$83:$88,Мор!$91:$97</definedName>
    <definedName name="Z_35821C05_60FE_4C33_8558_8CF10812F6FC_.wvu.Rows" localSheetId="8" hidden="1">Мос!$19:$24,Мос!$44:$44,Мос!$58:$58,Мос!$60:$61,Мос!$68:$69,Мос!$82:$82,Мос!$84:$90,Мос!$95:$100</definedName>
    <definedName name="Z_35821C05_60FE_4C33_8558_8CF10812F6FC_.wvu.Rows" localSheetId="9" hidden="1">Ори!$19:$24,Ори!$32:$32,Ори!$44:$44,Ори!$48:$50,Ори!$57:$57,Ори!$59:$60,Ори!$67:$68,Ори!$78:$79,Ори!$81:$81,Ори!$83:$87,Ори!$91:$98</definedName>
    <definedName name="Z_35821C05_60FE_4C33_8558_8CF10812F6FC_.wvu.Rows" localSheetId="2" hidden="1">район!$17:$18,район!$20:$20,район!$28:$30,район!$50:$51,район!$75:$75,район!$82:$82,район!$99:$99,район!$105:$105,район!$133:$135</definedName>
    <definedName name="Z_35821C05_60FE_4C33_8558_8CF10812F6FC_.wvu.Rows" localSheetId="1" hidden="1">Справка!$33:$34</definedName>
    <definedName name="Z_35821C05_60FE_4C33_8558_8CF10812F6FC_.wvu.Rows" localSheetId="4" hidden="1">Сун!$19:$24,Сун!$49:$51,Сун!$58:$58,Сун!$60:$61,Сун!$68:$69,Сун!$79:$80,Сун!$82:$82,Сун!$88:$89,Сун!$93:$97</definedName>
    <definedName name="Z_35821C05_60FE_4C33_8558_8CF10812F6FC_.wvu.Rows" localSheetId="10" hidden="1">Сят!$19:$19,Сят!$45:$47,Сят!$57:$57,Сят!$59:$60,Сят!$67:$68,Сят!$83:$86,Сят!$90:$97</definedName>
    <definedName name="Z_35821C05_60FE_4C33_8558_8CF10812F6FC_.wvu.Rows" localSheetId="11" hidden="1">Тор!$19:$19,Тор!$50:$50,Тор!$57:$57,Тор!$59:$60,Тор!$67:$68,Тор!$75:$75,Тор!$79:$80,Тор!$83:$94</definedName>
    <definedName name="Z_35821C05_60FE_4C33_8558_8CF10812F6FC_.wvu.Rows" localSheetId="12" hidden="1">Хор!$19:$24,Хор!$32:$32,Хор!$40:$40,Хор!$44:$44,Хор!$55:$55,Хор!$57:$58,Хор!$65:$66,Хор!$81:$85,Хор!$88:$95</definedName>
    <definedName name="Z_35821C05_60FE_4C33_8558_8CF10812F6FC_.wvu.Rows" localSheetId="13" hidden="1">Чум!$19:$19,Чум!$21:$21,Чум!$23:$24,Чум!$47:$49,Чум!$57:$57,Чум!$59:$60,Чум!$67:$68,Чум!$83:$87,Чум!$90:$97</definedName>
    <definedName name="Z_35821C05_60FE_4C33_8558_8CF10812F6FC_.wvu.Rows" localSheetId="14" hidden="1">Шать!$19:$24,Шать!$47:$49,Шать!$57:$57,Шать!$59:$60,Шать!$67:$68,Шать!$78:$79,Шать!$83:$87,Шать!$90:$97</definedName>
    <definedName name="Z_35821C05_60FE_4C33_8558_8CF10812F6FC_.wvu.Rows" localSheetId="15" hidden="1">Юнг!$19:$24,Юнг!$32:$32,Юнг!$49:$49,Юнг!$56:$56,Юнг!$58:$59,Юнг!$66:$67,Юнг!$82:$86,Юнг!$89:$96</definedName>
    <definedName name="Z_35821C05_60FE_4C33_8558_8CF10812F6FC_.wvu.Rows" localSheetId="16" hidden="1">Юсь!$20:$24,Юсь!$40:$40,Юсь!$44:$49,Юсь!$58:$58,Юсь!$60:$61,Юсь!$68:$69,Юсь!$79:$80,Юсь!$83:$88,Юсь!$91:$98</definedName>
    <definedName name="Z_35821C05_60FE_4C33_8558_8CF10812F6FC_.wvu.Rows" localSheetId="17" hidden="1">Яра!$19:$24,Яра!$46:$50,Яра!$58:$58,Яра!$60:$61,Яра!$68:$69,Яра!$79:$79,Яра!$82:$88,Яра!$91:$98</definedName>
    <definedName name="Z_35821C05_60FE_4C33_8558_8CF10812F6FC_.wvu.Rows" localSheetId="18" hidden="1">Яро!$19:$24,Яро!$29:$30,Яро!$32:$32,Яро!$43:$43,Яро!$54:$54,Яро!$56:$57,Яро!$64:$65,Яро!$75:$76,Яро!$80:$85,Яро!$87:$94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Тор!$A$1:$F$102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район!$17:$18,район!$20:$20,район!$28:$30,район!$50:$51,район!$75:$75,район!$82:$82,район!$99:$99,район!$105:$105,район!$133:$135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Тор!$19:$19,Тор!$50:$50,Тор!$57:$57,Тор!$59:$60,Тор!$67:$68,Тор!$75:$75,Тор!$79:$80,Тор!$83:$94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Тор!$A$1:$F$102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$105:$105,район!$113:$113,район!$133:$135,район!$138:$139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Тор!$19:$24,Тор!$32:$36,Тор!$46:$47,Тор!$50:$50,Тор!$57:$57,Тор!$59:$60,Тор!$67:$68,Тор!$75:$75,Тор!$79:$80,Тор!$84:$96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Тор!$A$1:$F$102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район!$17:$18,район!$20:$20,район!$28:$30,район!$50:$51,район!$75:$75,район!$82:$82,район!$99:$99,район!$105:$105,район!$133:$135</definedName>
    <definedName name="Z_5BFCA170_DEAE_4D2C_98A0_1E68B427AC01_.wvu.Rows" localSheetId="1" hidden="1">Справка!$33:$34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Тор!$19:$19,Тор!$50:$50,Тор!$57:$57,Тор!$59:$60,Тор!$67:$68,Тор!$75:$75,Тор!$79:$80,Тор!$83:$94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Справка!$AV:$AX,Справка!$BB:$BD,Справка!$BH:$BP,Справка!$BT:$BY,Справка!$CX:$DF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Тор!$A$1:$F$102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Иль!$19:$24,Иль!$34:$39,Иль!$58:$58,Иль!$60:$62,Иль!$68:$69,Иль!$78:$79,Иль!$81:$81,Иль!$86:$90,Иль!$93:$100,Иль!$143:$143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61528DAC_5C4C_48F4_ADE2_8A724B05A086_.wvu.Rows" localSheetId="8" hidden="1">Мос!$19:$24,Мос!$29:$33,Мос!$44:$44,Мос!$50:$50,Мос!$58:$58,Мос!$60:$61,Мос!$68:$69,Мос!$79:$80,Мос!$82:$82,Мос!$85:$92,Мос!$95:$102,Мос!$143:$143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Ори!$19:$24,Ори!$31:$35,Ори!$44:$44,Ори!$46:$46,Ори!$48:$50,Ори!$57:$57,Ори!$59:$60,Ори!$67:$68,Ори!$78:$79,Ори!$81:$81,Ори!$84:$88,Ори!$91:$98,Ори!$142:$142</definedName>
    <definedName name="Z_61528DAC_5C4C_48F4_ADE2_8A724B05A086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61528DAC_5C4C_48F4_ADE2_8A724B05A086_.wvu.Rows" localSheetId="1" hidden="1">Справка!$33:$33</definedName>
    <definedName name="Z_61528DAC_5C4C_48F4_ADE2_8A724B05A086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Сят!$19:$24,Сят!$31:$33,Сят!$38:$38,Сят!$45:$48,Сят!$57:$57,Сят!$59:$60,Сят!$67:$68,Сят!$78:$79,Сят!$83:$87,Сят!$90:$97,Сят!$143:$143</definedName>
    <definedName name="Z_61528DAC_5C4C_48F4_ADE2_8A724B05A086_.wvu.Rows" localSheetId="11" hidden="1">Тор!$19:$24,Тор!$32:$36,Тор!$39:$39,Тор!$50:$50,Тор!$57:$57,Тор!$59:$60,Тор!$67:$68,Тор!$75:$75,Тор!$79:$80,Тор!$86:$87,Тор!$90:$96,Тор!$143:$143</definedName>
    <definedName name="Z_61528DAC_5C4C_48F4_ADE2_8A724B05A086_.wvu.Rows" localSheetId="12" hidden="1">Хор!$19:$24,Хор!$28:$36,Хор!$40:$40,Хор!$44:$44,Хор!$46:$48,Хор!$55:$55,Хор!$57:$59,Хор!$65:$66,Хор!$76:$77,Хор!$81:$85,Хор!$88:$95,Хор!$142:$142</definedName>
    <definedName name="Z_61528DAC_5C4C_48F4_ADE2_8A724B05A086_.wvu.Rows" localSheetId="13" hidden="1">Чум!$19:$24,Чум!$31:$36,Чум!$46:$49,Чум!$57:$57,Чум!$59:$61,Чум!$67:$68,Чум!$78:$79,Чум!$83:$87,Чум!$90:$97,Чум!$142:$142</definedName>
    <definedName name="Z_61528DAC_5C4C_48F4_ADE2_8A724B05A086_.wvu.Rows" localSheetId="14" hidden="1">Шать!$19:$25,Шать!$31:$33,Шать!$46:$49,Шать!$57:$57,Шать!$59:$60,Шать!$67:$68,Шать!$78:$79,Шать!$84:$86,Шать!$90:$97,Шать!$142:$142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Юсь!$19:$24,Юсь!$31:$33,Юсь!$36:$36,Юсь!$44:$50,Юсь!$58:$58,Юсь!$60:$61,Юсь!$68:$69,Юсь!$79:$80,Юсь!$84:$88,Юсь!$91:$98,Юсь!$142:$142</definedName>
    <definedName name="Z_61528DAC_5C4C_48F4_ADE2_8A724B05A086_.wvu.Rows" localSheetId="17" hidden="1">Яра!$19:$24,Яра!$46:$50,Яра!$58:$58,Яра!$60:$62,Яра!$68:$69,Яра!$79:$80,Яра!$84:$88,Яра!$91:$98,Яра!$143:$143</definedName>
    <definedName name="Z_61528DAC_5C4C_48F4_ADE2_8A724B05A086_.wvu.Rows" localSheetId="18" hidden="1">Яро!$19:$24,Яро!$28:$28,Яро!$43:$43,Яро!$54:$54,Яро!$56:$58,Яро!$64:$65,Яро!$75:$75,Яро!$82:$84,Яро!$87:$90,Яро!$92:$94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Тор!$A$1:$F$102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район!$17:$18,район!$20:$20,район!$25:$25,район!$27:$31,район!$35:$35,район!$38:$38,район!$50:$51,район!$62:$62,район!$75:$75,район!$82:$82,район!$99:$99,район!$105:$105,район!$133:$135,район!$138:$139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Тор!$19:$24,Тор!$32:$36,Тор!$39:$39,Тор!$46:$47,Тор!$50:$50,Тор!$57:$57,Тор!$59:$60,Тор!$67:$68,Тор!$75:$75,Тор!$79:$80,Тор!$84:$96,Тор!$143:$143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Тор!$A$1:$F$102</definedName>
    <definedName name="Z_B30CE22D_C12F_4E12_8BB9_3AAE0A6991CC_.wvu.PrintArea" localSheetId="15" hidden="1">Юнг!$A$1:$F$100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Але!$19:$24,Але!$28:$28,Але!$36:$36,Але!$46:$46,Але!$53:$53,Але!$55:$57,Але!$63:$64,Але!$74:$75,Але!$79:$83,Але!$86:$93,Але!$142:$142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Мос!$19:$24,Мос!$29:$35,Мос!$44:$44,Мос!$58:$58,Мос!$60:$61,Мос!$68:$69,Мос!$79:$80,Мос!$82:$82,Мос!$85:$92,Мос!$95:$102,Мос!$143:$143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Ори!$19:$24,Ори!$31:$35,Ори!$44:$44,Ори!$46:$46,Ори!$48:$50,Ори!$57:$57,Ори!$59:$60,Ори!$67:$68,Ори!$78:$79,Ори!$81:$81,Ори!$84:$88,Ори!$91:$98,Ори!$142:$142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район!$17:$18,район!$20:$20,район!$27:$31,район!$35:$35,район!$38:$38,район!$50:$51,район!$62:$62,район!$75:$75,район!$82:$82,район!$99:$99,район!$105:$105,район!$133:$135,район!$138:$139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Сун!$19:$24,Сун!$34:$36,Сун!$45:$45,Сун!$47:$47,Сун!$49:$51,Сун!$58:$58,Сун!$60:$62,Сун!$68:$69,Сун!$79:$80,Сун!$82:$82,Сун!$85:$85,Сун!$87:$89,Сун!$93:$100,Сун!$142:$142</definedName>
    <definedName name="Z_B30CE22D_C12F_4E12_8BB9_3AAE0A6991CC_.wvu.Rows" localSheetId="10" hidden="1">Сят!$19:$24,Сят!$31:$33,Сят!$38:$38,Сят!$45:$48,Сят!$57:$57,Сят!$59:$60,Сят!$67:$68,Сят!$78:$79,Сят!$83:$87,Сят!$90:$97,Сят!$143:$143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Тор!$19:$24,Тор!$32:$36,Тор!$39:$39,Тор!$50:$50,Тор!$57:$57,Тор!$59:$60,Тор!$67:$68,Тор!$75:$75,Тор!$79:$80,Тор!$86:$87,Тор!$90:$96,Тор!$143:$143</definedName>
    <definedName name="Z_B30CE22D_C12F_4E12_8BB9_3AAE0A6991CC_.wvu.Rows" localSheetId="12" hidden="1">Хор!$19:$24,Хор!$28:$36,Хор!$40:$40,Хор!$44:$44,Хор!$46:$48,Хор!$55:$55,Хор!$57:$59,Хор!$65:$66,Хор!$76:$77,Хор!$81:$85,Хор!$88:$95,Хор!$142:$142</definedName>
    <definedName name="Z_B30CE22D_C12F_4E12_8BB9_3AAE0A6991CC_.wvu.Rows" localSheetId="13" hidden="1">Чум!$19:$24,Чум!$31:$36,Чум!$46:$49,Чум!$57:$57,Чум!$59:$61,Чум!$67:$68,Чум!$78:$79,Чум!$83:$87,Чум!$90:$97,Чум!$142:$142</definedName>
    <definedName name="Z_B30CE22D_C12F_4E12_8BB9_3AAE0A6991CC_.wvu.Rows" localSheetId="14" hidden="1">Шать!$19:$25,Шать!$31:$33,Шать!$46:$49,Шать!$57:$57,Шать!$59:$60,Шать!$67:$68,Шать!$78:$79,Шать!$84:$86,Шать!$90:$97,Шать!$142:$142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Юсь!$19:$24,Юсь!$31:$33,Юсь!$36:$36,Юсь!$44:$50,Юсь!$58:$58,Юсь!$60:$61,Юсь!$68:$69,Юсь!$79:$80,Юсь!$84:$88,Юсь!$91:$98,Юсь!$142:$142</definedName>
    <definedName name="Z_B30CE22D_C12F_4E12_8BB9_3AAE0A6991CC_.wvu.Rows" localSheetId="17" hidden="1">Яра!$19:$24,Яра!$46:$50,Яра!$58:$58,Яра!$60:$62,Яра!$68:$69,Яра!$79:$80,Яра!$84:$88,Яра!$91:$98,Яра!$143:$143</definedName>
    <definedName name="Z_B30CE22D_C12F_4E12_8BB9_3AAE0A6991CC_.wvu.Rows" localSheetId="18" hidden="1">Яро!$19:$24,Яро!$28:$28,Яро!$43:$43,Яро!$54:$54,Яро!$56:$58,Яро!$64:$65,Яро!$75:$75,Яро!$82:$84,Яро!$87:$90,Яро!$92:$94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Иль!$A$1:$F$104</definedName>
    <definedName name="Z_B31C8DB7_3E78_4144_A6B5_8DE36DE63F0E_.wvu.PrintArea" localSheetId="0" hidden="1">Консол!$A$1:$K$50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Тор!$A$1:$F$102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Але!$19:$24,Але!$44:$44,Але!$46:$46,Але!$53:$53,Але!$55:$56,Але!$63:$64,Але!$74:$75,Але!$79:$83,Але!$87:$89</definedName>
    <definedName name="Z_B31C8DB7_3E78_4144_A6B5_8DE36DE63F0E_.wvu.Rows" localSheetId="5" hidden="1">Иль!$19:$24,Иль!$33:$33,Иль!$45:$45,Иль!$50:$50,Иль!$60:$61,Иль!$68:$69,Иль!$78:$79,Иль!$81:$81,Иль!$93:$97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Консол!$22:$22,Консол!$43:$45,Консол!$82:$84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район!$17:$18,район!$20:$20,район!$28:$30,район!$50:$51,район!$75:$75,район!$82:$82,район!$99:$99,район!$105:$105,район!$133:$135</definedName>
    <definedName name="Z_B31C8DB7_3E78_4144_A6B5_8DE36DE63F0E_.wvu.Rows" localSheetId="1" hidden="1">Справка!$33:$33,Справка!$34:$34</definedName>
    <definedName name="Z_B31C8DB7_3E78_4144_A6B5_8DE36DE63F0E_.wvu.Rows" localSheetId="4" hidden="1">Сун!$19:$24,Сун!$49:$51,Сун!$58:$58,Сун!$60:$61,Сун!$68:$69,Сун!$79:$80,Сун!$82:$82,Сун!$88:$89,Сун!$93:$97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Тор!$19:$19,Тор!$50:$50,Тор!$57:$57,Тор!$59:$60,Тор!$67:$68,Тор!$75:$75,Тор!$79:$80,Тор!$83:$94</definedName>
    <definedName name="Z_B31C8DB7_3E78_4144_A6B5_8DE36DE63F0E_.wvu.Rows" localSheetId="12" hidden="1">Хор!$19:$24,Хор!$32:$32,Хор!$40:$40,Хор!$44:$44,Хор!$55:$55,Хор!$57:$58,Хор!$65:$66,Хор!$81:$85,Хор!$88:$95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Юнг!$19:$24,Юнг!$32:$32,Юнг!$49:$49,Юнг!$56:$56,Юнг!$58:$59,Юнг!$66:$67,Юнг!$82:$86,Юнг!$89:$96</definedName>
    <definedName name="Z_B31C8DB7_3E78_4144_A6B5_8DE36DE63F0E_.wvu.Rows" localSheetId="16" hidden="1">Юсь!$20:$24,Юсь!$40:$40,Юсь!$44:$49,Юсь!$58:$58,Юсь!$60:$61,Юсь!$68:$69,Юсь!$79:$80,Юсь!$83:$88,Юсь!$91:$98</definedName>
    <definedName name="Z_B31C8DB7_3E78_4144_A6B5_8DE36DE63F0E_.wvu.Rows" localSheetId="17" hidden="1">Яра!$19:$24,Яра!$46:$50,Яра!$58:$58,Яра!$60:$61,Яра!$68:$69,Яра!$79:$79,Яра!$82:$88,Яра!$91:$98</definedName>
    <definedName name="Z_B31C8DB7_3E78_4144_A6B5_8DE36DE63F0E_.wvu.Rows" localSheetId="18" hidden="1">Яро!$19:$24,Яро!$29:$30,Яро!$32:$32,Яро!$43:$43,Яро!$54:$54,Яро!$56:$57,Яро!$64:$65,Яро!$75:$76,Яро!$80:$85,Яро!$87:$94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1">Справка!$A$1:$EY$31</definedName>
    <definedName name="_xlnm.Print_Area" localSheetId="11">Тор!$A$1:$F$102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1 - Личное представление" guid="{35821C05-60FE-4C33-8558-8CF10812F6FC}" mergeInterval="0" personalView="1" maximized="1" xWindow="1" yWindow="1" windowWidth="1356" windowHeight="538" tabRatio="695" activeSheetId="3"/>
    <customWorkbookView name="morgau_fin5 - Личное представление" guid="{B31C8DB7-3E78-4144-A6B5-8DE36DE63F0E}" mergeInterval="0" personalView="1" maximized="1" xWindow="1" yWindow="1" windowWidth="1916" windowHeight="850" tabRatio="695" activeSheetId="2"/>
    <customWorkbookView name="morgau_fin3 - Личное представление" guid="{61528DAC-5C4C-48F4-ADE2-8A724B05A086}" mergeInterval="0" personalView="1" maximized="1" xWindow="1" yWindow="1" windowWidth="1916" windowHeight="850" tabRatio="695" activeSheetId="2"/>
    <customWorkbookView name="morgau_fin2 - Личное представление" guid="{B30CE22D-C12F-4E12-8BB9-3AAE0A6991CC}" mergeInterval="0" personalView="1" maximized="1" xWindow="1" yWindow="1" windowWidth="1916" windowHeight="859" tabRatio="695" activeSheetId="1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morgau_fin7 - Личное представление" guid="{5BFCA170-DEAE-4D2C-98A0-1E68B427AC01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F71" i="12"/>
  <c r="E71"/>
  <c r="D77" i="4"/>
  <c r="CR19" i="2"/>
  <c r="AB28"/>
  <c r="AZ17"/>
  <c r="AZ19"/>
  <c r="AZ20"/>
  <c r="AZ21"/>
  <c r="AZ24"/>
  <c r="AZ26"/>
  <c r="AZ27"/>
  <c r="AZ28"/>
  <c r="C67" i="5"/>
  <c r="C66" i="8"/>
  <c r="F71"/>
  <c r="E71"/>
  <c r="DF35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D31"/>
  <c r="BE28" i="2"/>
  <c r="D71" i="7"/>
  <c r="D83" i="9"/>
  <c r="D26" i="6"/>
  <c r="E44" i="14"/>
  <c r="C104" i="3" l="1"/>
  <c r="C33"/>
  <c r="D40" i="16"/>
  <c r="D34" i="15" l="1"/>
  <c r="D36" i="7"/>
  <c r="D66" i="12"/>
  <c r="D34" i="11"/>
  <c r="D26"/>
  <c r="D14"/>
  <c r="CV26" i="2"/>
  <c r="AT18"/>
  <c r="AQ18"/>
  <c r="C34" i="11" l="1"/>
  <c r="BN21" i="2" s="1"/>
  <c r="C82" i="12"/>
  <c r="C38" i="17"/>
  <c r="D12" i="19"/>
  <c r="D33" i="3"/>
  <c r="E40"/>
  <c r="F40"/>
  <c r="D67" i="18" l="1"/>
  <c r="E42" i="13"/>
  <c r="D82" i="12"/>
  <c r="D64"/>
  <c r="D67" i="6"/>
  <c r="C67"/>
  <c r="E72"/>
  <c r="F72"/>
  <c r="C68" i="4"/>
  <c r="D68"/>
  <c r="D98" i="3"/>
  <c r="D104" l="1"/>
  <c r="G32" i="1" s="1"/>
  <c r="CO19" i="2"/>
  <c r="E49" i="9"/>
  <c r="D5" i="5"/>
  <c r="C29" i="12"/>
  <c r="J15" i="2"/>
  <c r="E103" i="3"/>
  <c r="F103"/>
  <c r="D12" i="7"/>
  <c r="CD14" i="2"/>
  <c r="CS17"/>
  <c r="CD17"/>
  <c r="C38" i="4"/>
  <c r="AT28" i="2"/>
  <c r="F28" i="18"/>
  <c r="E28"/>
  <c r="D26"/>
  <c r="C67"/>
  <c r="F72"/>
  <c r="E72"/>
  <c r="D73"/>
  <c r="F29"/>
  <c r="E29"/>
  <c r="C116" i="3"/>
  <c r="C98"/>
  <c r="E93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D38" i="4"/>
  <c r="BR14" i="2"/>
  <c r="CV22"/>
  <c r="CV21"/>
  <c r="D125" i="3"/>
  <c r="D73"/>
  <c r="D41" i="12"/>
  <c r="E49"/>
  <c r="F49"/>
  <c r="D40" i="11"/>
  <c r="BR25" i="2" l="1"/>
  <c r="CS23"/>
  <c r="CS19"/>
  <c r="CS18"/>
  <c r="CS14" l="1"/>
  <c r="C73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E28" i="3"/>
  <c r="E29"/>
  <c r="E30"/>
  <c r="E31"/>
  <c r="F81" i="5"/>
  <c r="F76"/>
  <c r="C26"/>
  <c r="D41"/>
  <c r="E48"/>
  <c r="F48"/>
  <c r="C41"/>
  <c r="E48" i="12"/>
  <c r="F48"/>
  <c r="E67" i="3"/>
  <c r="E62"/>
  <c r="E57"/>
  <c r="E38"/>
  <c r="G24" i="1"/>
  <c r="E80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10" i="3"/>
  <c r="G33" i="1" s="1"/>
  <c r="C110" i="3"/>
  <c r="F33" i="1" s="1"/>
  <c r="E112" i="3"/>
  <c r="E113"/>
  <c r="E102"/>
  <c r="E91"/>
  <c r="E74"/>
  <c r="E75"/>
  <c r="E70"/>
  <c r="E71"/>
  <c r="E60"/>
  <c r="D52"/>
  <c r="G20" i="1" s="1"/>
  <c r="E34" i="3"/>
  <c r="E35"/>
  <c r="E25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P23" i="2"/>
  <c r="BO21"/>
  <c r="BP21" s="1"/>
  <c r="D97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E82" i="3"/>
  <c r="AQ27" i="2"/>
  <c r="AQ25"/>
  <c r="AQ19"/>
  <c r="AR19" s="1"/>
  <c r="AQ17"/>
  <c r="AT29"/>
  <c r="AU29" s="1"/>
  <c r="BU34"/>
  <c r="BU35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AZ15" i="2"/>
  <c r="D69" i="3"/>
  <c r="G21" i="1" s="1"/>
  <c r="F67" i="3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D116" i="3"/>
  <c r="G35" i="1" s="1"/>
  <c r="D35" s="1"/>
  <c r="F119" i="3"/>
  <c r="E119"/>
  <c r="D66" i="8"/>
  <c r="EC18" i="2" s="1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53" i="19"/>
  <c r="D69"/>
  <c r="EF29" i="2" s="1"/>
  <c r="D65" i="16"/>
  <c r="D63"/>
  <c r="D55"/>
  <c r="D76"/>
  <c r="D71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E41" i="3"/>
  <c r="F41"/>
  <c r="C52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4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30" i="3"/>
  <c r="G38" i="1" s="1"/>
  <c r="C97" i="12"/>
  <c r="EQ22" i="2" s="1"/>
  <c r="D7" i="16"/>
  <c r="E42" i="9"/>
  <c r="F42"/>
  <c r="ER14" i="2"/>
  <c r="C84" i="4"/>
  <c r="EL14" i="2"/>
  <c r="C77" i="4"/>
  <c r="D73"/>
  <c r="C73"/>
  <c r="EH14" i="2" s="1"/>
  <c r="D62" i="4"/>
  <c r="EB14" i="2"/>
  <c r="C60" i="4"/>
  <c r="D52"/>
  <c r="D36" i="16"/>
  <c r="D140" i="3"/>
  <c r="G41" i="1" s="1"/>
  <c r="D16" i="3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8" i="3"/>
  <c r="G29" i="1" s="1"/>
  <c r="C140" i="3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E55" i="3"/>
  <c r="D23"/>
  <c r="G12" i="1" s="1"/>
  <c r="BU33" i="2"/>
  <c r="DF33"/>
  <c r="D47" i="3"/>
  <c r="D42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D12" i="3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30" i="3"/>
  <c r="F38" i="1" s="1"/>
  <c r="C125" i="3"/>
  <c r="F37" i="1" s="1"/>
  <c r="D122" i="3"/>
  <c r="G36" i="1" s="1"/>
  <c r="C122" i="3"/>
  <c r="F36" i="1" s="1"/>
  <c r="C133" i="3"/>
  <c r="E133" s="1"/>
  <c r="D114"/>
  <c r="F32" i="1"/>
  <c r="D96" i="3"/>
  <c r="G30" i="1" s="1"/>
  <c r="E98" i="3"/>
  <c r="C88"/>
  <c r="F29" i="1" s="1"/>
  <c r="C7" i="3"/>
  <c r="F6" i="1" s="1"/>
  <c r="D12" i="6"/>
  <c r="C91" i="9"/>
  <c r="EN19" i="2" s="1"/>
  <c r="D67" i="17"/>
  <c r="EC27" i="2" s="1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E30" i="19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H27" i="2" s="1"/>
  <c r="E79" i="17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D64" i="13"/>
  <c r="EC23" i="2" s="1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C89"/>
  <c r="D89"/>
  <c r="E90"/>
  <c r="F90"/>
  <c r="E91"/>
  <c r="F91"/>
  <c r="E92"/>
  <c r="E93"/>
  <c r="E94"/>
  <c r="E95"/>
  <c r="F95"/>
  <c r="E96"/>
  <c r="F96"/>
  <c r="E98"/>
  <c r="F98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D66" i="10"/>
  <c r="EC20" i="2" s="1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D30" i="6"/>
  <c r="AZ16" i="2" s="1"/>
  <c r="E31" i="6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2"/>
  <c r="F16" i="1" s="1"/>
  <c r="C16" s="1"/>
  <c r="E43" i="3"/>
  <c r="F43"/>
  <c r="C44"/>
  <c r="F17" i="1" s="1"/>
  <c r="D44" i="3"/>
  <c r="G17" i="1" s="1"/>
  <c r="E45" i="3"/>
  <c r="F45"/>
  <c r="F46"/>
  <c r="C47"/>
  <c r="F18" i="1" s="1"/>
  <c r="D50" i="3"/>
  <c r="G19" i="1" s="1"/>
  <c r="D19" s="1"/>
  <c r="E48" i="3"/>
  <c r="F48"/>
  <c r="E49"/>
  <c r="F49"/>
  <c r="C50"/>
  <c r="E51"/>
  <c r="F51"/>
  <c r="E53"/>
  <c r="F53"/>
  <c r="E54"/>
  <c r="F54"/>
  <c r="F55"/>
  <c r="E56"/>
  <c r="F56"/>
  <c r="F57"/>
  <c r="E58"/>
  <c r="F58"/>
  <c r="E59"/>
  <c r="F59"/>
  <c r="F60"/>
  <c r="E61"/>
  <c r="F61"/>
  <c r="F62"/>
  <c r="E63"/>
  <c r="F63"/>
  <c r="E64"/>
  <c r="F64"/>
  <c r="E65"/>
  <c r="F65"/>
  <c r="E66"/>
  <c r="F66"/>
  <c r="E68"/>
  <c r="F68"/>
  <c r="C69"/>
  <c r="F70"/>
  <c r="F71"/>
  <c r="F74"/>
  <c r="F75"/>
  <c r="E76"/>
  <c r="F76"/>
  <c r="E77"/>
  <c r="F77"/>
  <c r="E78"/>
  <c r="F78"/>
  <c r="E79"/>
  <c r="F79"/>
  <c r="F80"/>
  <c r="E81"/>
  <c r="F81"/>
  <c r="F82"/>
  <c r="E89"/>
  <c r="F89"/>
  <c r="E90"/>
  <c r="F90"/>
  <c r="F91"/>
  <c r="E92"/>
  <c r="F92"/>
  <c r="F93"/>
  <c r="E94"/>
  <c r="F94"/>
  <c r="E95"/>
  <c r="F95"/>
  <c r="C96"/>
  <c r="E97"/>
  <c r="F97"/>
  <c r="E99"/>
  <c r="F99"/>
  <c r="E100"/>
  <c r="F100"/>
  <c r="E101"/>
  <c r="F101"/>
  <c r="F102"/>
  <c r="E105"/>
  <c r="F105"/>
  <c r="E106"/>
  <c r="F106"/>
  <c r="E108"/>
  <c r="F108"/>
  <c r="E109"/>
  <c r="F109"/>
  <c r="E111"/>
  <c r="F111"/>
  <c r="F112"/>
  <c r="F113"/>
  <c r="C114"/>
  <c r="F34" i="1" s="1"/>
  <c r="C34" s="1"/>
  <c r="E115" i="3"/>
  <c r="F115"/>
  <c r="E117"/>
  <c r="F117"/>
  <c r="E118"/>
  <c r="F118"/>
  <c r="E120"/>
  <c r="F120"/>
  <c r="E121"/>
  <c r="F121"/>
  <c r="E123"/>
  <c r="F123"/>
  <c r="E124"/>
  <c r="F124"/>
  <c r="E126"/>
  <c r="F126"/>
  <c r="E127"/>
  <c r="F127"/>
  <c r="E128"/>
  <c r="F128"/>
  <c r="E129"/>
  <c r="F129"/>
  <c r="E131"/>
  <c r="F131"/>
  <c r="E132"/>
  <c r="F132"/>
  <c r="E134"/>
  <c r="E135"/>
  <c r="C136"/>
  <c r="F39" i="1" s="1"/>
  <c r="C39" s="1"/>
  <c r="D136" i="3"/>
  <c r="E137"/>
  <c r="F137"/>
  <c r="C138"/>
  <c r="F40" i="1" s="1"/>
  <c r="C40" s="1"/>
  <c r="G40"/>
  <c r="D40" s="1"/>
  <c r="F139" i="3"/>
  <c r="E141"/>
  <c r="F141"/>
  <c r="E142"/>
  <c r="F142"/>
  <c r="E143"/>
  <c r="F143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4" s="1"/>
  <c r="BV35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4" s="1"/>
  <c r="AV35" s="1"/>
  <c r="AW31"/>
  <c r="AW33" s="1"/>
  <c r="BT31"/>
  <c r="BT34" s="1"/>
  <c r="BT35" s="1"/>
  <c r="BW31"/>
  <c r="BW34" s="1"/>
  <c r="BW35" s="1"/>
  <c r="BX31"/>
  <c r="BX33" s="1"/>
  <c r="CU31"/>
  <c r="CU34" s="1"/>
  <c r="CU35" s="1"/>
  <c r="CX31"/>
  <c r="CX34" s="1"/>
  <c r="CX35" s="1"/>
  <c r="CY31"/>
  <c r="CY34" s="1"/>
  <c r="CY35" s="1"/>
  <c r="DA31"/>
  <c r="DA33" s="1"/>
  <c r="DD31"/>
  <c r="DD34" s="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F73" i="3"/>
  <c r="E73"/>
  <c r="E77" i="12"/>
  <c r="F74" i="17"/>
  <c r="C73"/>
  <c r="EE27" i="2" s="1"/>
  <c r="E74" i="17"/>
  <c r="E80" i="8"/>
  <c r="F80"/>
  <c r="E74"/>
  <c r="CC20" i="2"/>
  <c r="C72" i="12"/>
  <c r="C38" i="19"/>
  <c r="F39"/>
  <c r="C94" i="4" l="1"/>
  <c r="G94" s="1"/>
  <c r="J31" i="2"/>
  <c r="J35" s="1"/>
  <c r="E64" i="11"/>
  <c r="D25" i="19"/>
  <c r="D95"/>
  <c r="E14" i="12"/>
  <c r="EQ29" i="2"/>
  <c r="ES29" s="1"/>
  <c r="F140" i="3"/>
  <c r="F17" i="14"/>
  <c r="C99" i="12"/>
  <c r="G99" s="1"/>
  <c r="D99"/>
  <c r="H99" s="1"/>
  <c r="D25"/>
  <c r="V31" i="2"/>
  <c r="V35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E96" i="3"/>
  <c r="E69"/>
  <c r="F26" i="12"/>
  <c r="AR22" i="2"/>
  <c r="F41" i="5"/>
  <c r="F7" i="12"/>
  <c r="E37" i="5"/>
  <c r="C25"/>
  <c r="CH23" i="2"/>
  <c r="Z20"/>
  <c r="F114" i="3"/>
  <c r="E54" i="13"/>
  <c r="N22" i="2"/>
  <c r="F14" i="11"/>
  <c r="DO18" i="2"/>
  <c r="K17"/>
  <c r="E125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69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E130" i="3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BP18"/>
  <c r="F81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H96" s="1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BL33" s="1"/>
  <c r="E89" i="8"/>
  <c r="EA18" i="2"/>
  <c r="AR18"/>
  <c r="BZ16"/>
  <c r="E7" i="6"/>
  <c r="E32"/>
  <c r="F12"/>
  <c r="F86" i="5"/>
  <c r="E20"/>
  <c r="DO15" i="2"/>
  <c r="E20" i="4"/>
  <c r="CK14" i="2"/>
  <c r="Z14"/>
  <c r="C25" i="4"/>
  <c r="E14"/>
  <c r="E7"/>
  <c r="F31"/>
  <c r="F104" i="3"/>
  <c r="F47"/>
  <c r="CU33" i="2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E89" i="12"/>
  <c r="F72"/>
  <c r="F97"/>
  <c r="E97"/>
  <c r="BA22" i="2"/>
  <c r="F83" i="11"/>
  <c r="EO21" i="2"/>
  <c r="EP21" s="1"/>
  <c r="E88" i="11"/>
  <c r="AF21" i="2"/>
  <c r="AJ31"/>
  <c r="AJ34" s="1"/>
  <c r="AJ35" s="1"/>
  <c r="K21"/>
  <c r="ES20"/>
  <c r="F66" i="10"/>
  <c r="F77"/>
  <c r="F7"/>
  <c r="DO20" i="2"/>
  <c r="E29" i="10"/>
  <c r="E20"/>
  <c r="E14"/>
  <c r="E86" i="9"/>
  <c r="E65"/>
  <c r="DO19" i="2"/>
  <c r="E34" i="9"/>
  <c r="F26"/>
  <c r="D98" i="8"/>
  <c r="EV18" i="2"/>
  <c r="EJ18"/>
  <c r="F20" i="8"/>
  <c r="E95"/>
  <c r="F34"/>
  <c r="BK31" i="2"/>
  <c r="BK33" s="1"/>
  <c r="E20" i="7"/>
  <c r="O31" i="2"/>
  <c r="O35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4"/>
  <c r="BC35" s="1"/>
  <c r="BC33"/>
  <c r="E12" i="4"/>
  <c r="F90"/>
  <c r="F20"/>
  <c r="E23" i="3"/>
  <c r="D144"/>
  <c r="F7"/>
  <c r="F11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12" i="3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114" i="3"/>
  <c r="E7" i="9"/>
  <c r="F26" i="17"/>
  <c r="Z24" i="2"/>
  <c r="Z16"/>
  <c r="F65" i="7"/>
  <c r="D4" i="5"/>
  <c r="E5" i="15"/>
  <c r="D37" i="19"/>
  <c r="D48" s="1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DT33" s="1"/>
  <c r="AG31"/>
  <c r="I31"/>
  <c r="I35" s="1"/>
  <c r="D97" i="16"/>
  <c r="H97" s="1"/>
  <c r="EG27" i="2"/>
  <c r="DO26"/>
  <c r="CP31"/>
  <c r="CP34" s="1"/>
  <c r="CP35" s="1"/>
  <c r="D99" i="18"/>
  <c r="H99" s="1"/>
  <c r="H33" i="1"/>
  <c r="H6"/>
  <c r="F125" i="3"/>
  <c r="E140"/>
  <c r="D25" i="16"/>
  <c r="D39" s="1"/>
  <c r="D50" s="1"/>
  <c r="H50" s="1"/>
  <c r="BR26" i="2"/>
  <c r="AQ31"/>
  <c r="D4" i="3"/>
  <c r="EM25" i="2"/>
  <c r="DJ25"/>
  <c r="W25"/>
  <c r="E83" i="15"/>
  <c r="D25"/>
  <c r="E64" i="14"/>
  <c r="AE31" i="2"/>
  <c r="AE35" s="1"/>
  <c r="CL31"/>
  <c r="D98" i="15"/>
  <c r="H98" s="1"/>
  <c r="F77" i="14"/>
  <c r="E41"/>
  <c r="BZ25" i="2"/>
  <c r="E81" i="15"/>
  <c r="DP31" i="2"/>
  <c r="DP35" s="1"/>
  <c r="DJ24"/>
  <c r="F64" i="15"/>
  <c r="H24" i="1"/>
  <c r="E47" i="3"/>
  <c r="BY34" i="2"/>
  <c r="BY35" s="1"/>
  <c r="BY33"/>
  <c r="EM26"/>
  <c r="BI33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F44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5" i="19"/>
  <c r="AW34" i="2"/>
  <c r="AW35" s="1"/>
  <c r="E66" i="12"/>
  <c r="F66"/>
  <c r="F81" i="15"/>
  <c r="F138" i="3"/>
  <c r="F64" i="13"/>
  <c r="F72" i="8"/>
  <c r="C98"/>
  <c r="G98" s="1"/>
  <c r="D98" i="14"/>
  <c r="H98" s="1"/>
  <c r="E79" i="13"/>
  <c r="E20" i="12"/>
  <c r="F83" i="15"/>
  <c r="E91" i="5"/>
  <c r="F17" i="15"/>
  <c r="EU17" i="2"/>
  <c r="EV17" s="1"/>
  <c r="E84" i="6"/>
  <c r="E16" i="3"/>
  <c r="F32" i="6"/>
  <c r="CK17" i="2"/>
  <c r="CY33"/>
  <c r="E17" i="6"/>
  <c r="EL15" i="2"/>
  <c r="EM15" s="1"/>
  <c r="F36" i="10"/>
  <c r="K29" i="2"/>
  <c r="F26" i="7"/>
  <c r="E7" i="16"/>
  <c r="E104" i="3"/>
  <c r="F26" i="15"/>
  <c r="E31" i="9"/>
  <c r="D4" i="15"/>
  <c r="E52" i="3"/>
  <c r="E110"/>
  <c r="AP29" i="2"/>
  <c r="AR29" s="1"/>
  <c r="E29" i="15"/>
  <c r="F23" i="3"/>
  <c r="F33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E33" i="3"/>
  <c r="F21" i="1"/>
  <c r="F66" i="14"/>
  <c r="E95" i="18"/>
  <c r="F34" i="19"/>
  <c r="CK29" i="2"/>
  <c r="DO24"/>
  <c r="CK24"/>
  <c r="AU23"/>
  <c r="CS31"/>
  <c r="CS35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E7" i="3"/>
  <c r="N28" i="2"/>
  <c r="F130" i="3"/>
  <c r="D97" i="7"/>
  <c r="AI28" i="2"/>
  <c r="CN21"/>
  <c r="K14"/>
  <c r="EA28"/>
  <c r="CK21"/>
  <c r="F57" i="6"/>
  <c r="F7"/>
  <c r="DM31" i="2"/>
  <c r="DM35" s="1"/>
  <c r="CE26"/>
  <c r="CA26"/>
  <c r="CA29"/>
  <c r="CA28"/>
  <c r="CA27"/>
  <c r="CO31"/>
  <c r="CO35" s="1"/>
  <c r="CA24"/>
  <c r="CA23"/>
  <c r="EP22"/>
  <c r="CF31"/>
  <c r="CF35" s="1"/>
  <c r="CA22"/>
  <c r="AD31"/>
  <c r="L31"/>
  <c r="L35" s="1"/>
  <c r="AC22"/>
  <c r="CA21"/>
  <c r="CA18"/>
  <c r="CA17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6" i="3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8" i="3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32" i="3"/>
  <c r="CE27" i="2"/>
  <c r="T23"/>
  <c r="DX15"/>
  <c r="EP14"/>
  <c r="F30" i="6"/>
  <c r="D99" i="10"/>
  <c r="G18" i="1"/>
  <c r="H18" s="1"/>
  <c r="D32" i="3"/>
  <c r="K23" i="2"/>
  <c r="DV31"/>
  <c r="CJ31"/>
  <c r="CJ35" s="1"/>
  <c r="EJ25"/>
  <c r="E40" i="7"/>
  <c r="F69" i="19"/>
  <c r="AL24" i="2"/>
  <c r="BZ20"/>
  <c r="E77" i="14"/>
  <c r="DA34" i="2"/>
  <c r="DA35" s="1"/>
  <c r="AV33"/>
  <c r="BW33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BP24" i="2"/>
  <c r="G24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5" s="1"/>
  <c r="R31"/>
  <c r="R35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5" s="1"/>
  <c r="CM31"/>
  <c r="CM35" s="1"/>
  <c r="AB31"/>
  <c r="EK17"/>
  <c r="EM17" s="1"/>
  <c r="N17"/>
  <c r="ED22"/>
  <c r="EM29"/>
  <c r="BZ14"/>
  <c r="F91" i="5"/>
  <c r="EP19" i="2"/>
  <c r="F20" i="12"/>
  <c r="F34" i="7"/>
  <c r="BS16" i="2"/>
  <c r="CC31"/>
  <c r="CC35" s="1"/>
  <c r="H37" i="1"/>
  <c r="BV33" i="2"/>
  <c r="CZ31"/>
  <c r="CZ33" s="1"/>
  <c r="DB31"/>
  <c r="BX34"/>
  <c r="BX35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4" s="1"/>
  <c r="AM35" s="1"/>
  <c r="AI19"/>
  <c r="AC19"/>
  <c r="DX18"/>
  <c r="DX17"/>
  <c r="CE17"/>
  <c r="AC17"/>
  <c r="T17"/>
  <c r="T16"/>
  <c r="N16"/>
  <c r="Q15"/>
  <c r="N15"/>
  <c r="DJ14"/>
  <c r="CN14"/>
  <c r="AI14"/>
  <c r="E44" i="3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5" s="1"/>
  <c r="F27"/>
  <c r="E36" i="7"/>
  <c r="F36"/>
  <c r="BQ17" i="2"/>
  <c r="BS17" s="1"/>
  <c r="DZ31"/>
  <c r="DZ35" s="1"/>
  <c r="BP28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F52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P25" i="2"/>
  <c r="BB31"/>
  <c r="BD14"/>
  <c r="F136" i="3"/>
  <c r="G39" i="1"/>
  <c r="E136" i="3"/>
  <c r="F5"/>
  <c r="F5" i="1"/>
  <c r="C4" i="3"/>
  <c r="E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8" i="3"/>
  <c r="C144"/>
  <c r="F88"/>
  <c r="EK18" i="2"/>
  <c r="E81" i="8"/>
  <c r="C25"/>
  <c r="F26"/>
  <c r="E42" i="3"/>
  <c r="G16" i="1"/>
  <c r="F42" i="3"/>
  <c r="E67" i="9"/>
  <c r="EC19" i="2"/>
  <c r="F67" i="9"/>
  <c r="E66" i="11"/>
  <c r="F66"/>
  <c r="EC21" i="2"/>
  <c r="E77" i="4"/>
  <c r="EK14" i="2"/>
  <c r="F77" i="4"/>
  <c r="C72" i="15"/>
  <c r="C98" s="1"/>
  <c r="G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16" i="3"/>
  <c r="F116"/>
  <c r="F122"/>
  <c r="E122"/>
  <c r="E12" i="11"/>
  <c r="F12"/>
  <c r="CQ21" i="2"/>
  <c r="E21" i="3"/>
  <c r="F21"/>
  <c r="EE15" i="2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5" s="1"/>
  <c r="CT19"/>
  <c r="F73" i="17"/>
  <c r="CN28" i="2"/>
  <c r="F50" i="3"/>
  <c r="F31" i="8"/>
  <c r="E17" i="9"/>
  <c r="F31" i="11"/>
  <c r="F89" i="12"/>
  <c r="C96" i="13"/>
  <c r="G96" s="1"/>
  <c r="F88" i="14"/>
  <c r="C25"/>
  <c r="E14" i="16"/>
  <c r="D103" i="9"/>
  <c r="ES22" i="2"/>
  <c r="DK16"/>
  <c r="DX16"/>
  <c r="F19" i="1"/>
  <c r="E50" i="3"/>
  <c r="E12"/>
  <c r="F7" i="1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5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4" s="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3" i="2"/>
  <c r="BH34"/>
  <c r="BH35" s="1"/>
  <c r="BJ31"/>
  <c r="DE34"/>
  <c r="DE35" s="1"/>
  <c r="DE33"/>
  <c r="DJ28"/>
  <c r="DJ27"/>
  <c r="DW31"/>
  <c r="DW35" s="1"/>
  <c r="AH31"/>
  <c r="AH35" s="1"/>
  <c r="EG18"/>
  <c r="DK27"/>
  <c r="DJ21"/>
  <c r="CD33" l="1"/>
  <c r="CD35"/>
  <c r="AB33"/>
  <c r="AB35"/>
  <c r="S33"/>
  <c r="S35"/>
  <c r="M33"/>
  <c r="M35"/>
  <c r="I10" i="1"/>
  <c r="C10" s="1"/>
  <c r="AD35" i="2"/>
  <c r="CL33"/>
  <c r="CL35"/>
  <c r="I12" i="1"/>
  <c r="C12" s="1"/>
  <c r="AG35" i="2"/>
  <c r="DQ33"/>
  <c r="DQ35"/>
  <c r="J38" i="1"/>
  <c r="ER35" i="2"/>
  <c r="DV33"/>
  <c r="DV35"/>
  <c r="P33"/>
  <c r="P35"/>
  <c r="AQ33"/>
  <c r="AQ35"/>
  <c r="G18"/>
  <c r="D18" s="1"/>
  <c r="AT31"/>
  <c r="AT35" s="1"/>
  <c r="C40" i="5"/>
  <c r="C52" s="1"/>
  <c r="C53" s="1"/>
  <c r="X33" i="2"/>
  <c r="D40" i="18"/>
  <c r="D52" s="1"/>
  <c r="J33" i="2"/>
  <c r="BS15"/>
  <c r="G15"/>
  <c r="D15" s="1"/>
  <c r="CB29"/>
  <c r="D49" i="19"/>
  <c r="E25" i="15"/>
  <c r="ED26" i="2"/>
  <c r="BN31"/>
  <c r="E25" i="5"/>
  <c r="E4" i="13"/>
  <c r="CZ34" i="2"/>
  <c r="CZ35" s="1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G51" s="1"/>
  <c r="F4" i="13"/>
  <c r="E25" i="12"/>
  <c r="E71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ES26"/>
  <c r="D40" i="14"/>
  <c r="AL31" i="2"/>
  <c r="AL35" s="1"/>
  <c r="DL24"/>
  <c r="H20"/>
  <c r="C19"/>
  <c r="BL34"/>
  <c r="BL35" s="1"/>
  <c r="F98" i="8"/>
  <c r="CB16" i="2"/>
  <c r="DG14"/>
  <c r="H31" i="1"/>
  <c r="BK34" i="2"/>
  <c r="BK35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G52" s="1"/>
  <c r="DL26" i="2"/>
  <c r="BA25"/>
  <c r="F25" i="15"/>
  <c r="DH22" i="2"/>
  <c r="F25" i="12"/>
  <c r="F4" i="11"/>
  <c r="AJ33" i="2"/>
  <c r="I13" i="1"/>
  <c r="C13" s="1"/>
  <c r="F101" i="5"/>
  <c r="E4" i="4"/>
  <c r="F94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39" i="11"/>
  <c r="C51" s="1"/>
  <c r="CF33" i="2"/>
  <c r="CB17"/>
  <c r="C39" i="7"/>
  <c r="C50" s="1"/>
  <c r="DL17" i="2"/>
  <c r="F25" i="6"/>
  <c r="AO31" i="2"/>
  <c r="AD33"/>
  <c r="AN34"/>
  <c r="AN35" s="1"/>
  <c r="V33"/>
  <c r="E101" i="5"/>
  <c r="ER33" i="2"/>
  <c r="C15"/>
  <c r="AA33"/>
  <c r="I6" i="1"/>
  <c r="C6" s="1"/>
  <c r="C37" i="4"/>
  <c r="C47" s="1"/>
  <c r="E94"/>
  <c r="I8" i="1"/>
  <c r="C8" s="1"/>
  <c r="DH15" i="2"/>
  <c r="CB20"/>
  <c r="C22"/>
  <c r="CB14"/>
  <c r="AG33"/>
  <c r="D28"/>
  <c r="H28"/>
  <c r="CB27"/>
  <c r="F4" i="15"/>
  <c r="CO33" i="2"/>
  <c r="DT34"/>
  <c r="DT35" s="1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G4" i="1"/>
  <c r="G26" i="2"/>
  <c r="D26" s="1"/>
  <c r="D72" i="3"/>
  <c r="F4"/>
  <c r="AF31" i="2"/>
  <c r="AE33"/>
  <c r="J10" i="1"/>
  <c r="D10" s="1"/>
  <c r="DR31" i="2"/>
  <c r="DR33" s="1"/>
  <c r="E4" i="15"/>
  <c r="D40"/>
  <c r="D51" s="1"/>
  <c r="H51" s="1"/>
  <c r="DP33" i="2"/>
  <c r="DL25"/>
  <c r="D29"/>
  <c r="EX29" s="1"/>
  <c r="J25" i="1"/>
  <c r="D25" s="1"/>
  <c r="CS33" i="2"/>
  <c r="AM33"/>
  <c r="DH16"/>
  <c r="ED28"/>
  <c r="F25" i="10"/>
  <c r="D25" i="2"/>
  <c r="DN33"/>
  <c r="AP31"/>
  <c r="H34" i="1"/>
  <c r="D34"/>
  <c r="E34" s="1"/>
  <c r="K31" i="2"/>
  <c r="BQ31"/>
  <c r="BQ33" s="1"/>
  <c r="DG18"/>
  <c r="D39" i="11"/>
  <c r="D51" s="1"/>
  <c r="DG23" i="2"/>
  <c r="J5" i="1"/>
  <c r="D5" s="1"/>
  <c r="C37" i="13"/>
  <c r="C49" s="1"/>
  <c r="DM33" i="2"/>
  <c r="E98" i="8"/>
  <c r="F29" i="2"/>
  <c r="C29" s="1"/>
  <c r="D20"/>
  <c r="Q31"/>
  <c r="R33"/>
  <c r="D24"/>
  <c r="I7" i="1"/>
  <c r="E25" i="9"/>
  <c r="EM18" i="2"/>
  <c r="C20"/>
  <c r="CJ33"/>
  <c r="AS33"/>
  <c r="C14"/>
  <c r="J6" i="1"/>
  <c r="D6" s="1"/>
  <c r="CM33" i="2"/>
  <c r="Z19"/>
  <c r="DG22"/>
  <c r="DL16"/>
  <c r="U33"/>
  <c r="DH28"/>
  <c r="EN31"/>
  <c r="BS28"/>
  <c r="C40" i="15"/>
  <c r="DL22" i="2"/>
  <c r="EG19"/>
  <c r="D40" i="5"/>
  <c r="E144" i="3"/>
  <c r="T31" i="2"/>
  <c r="F99" i="12"/>
  <c r="E99"/>
  <c r="CH31" i="2"/>
  <c r="DK31"/>
  <c r="CG33"/>
  <c r="AK34"/>
  <c r="AK35" s="1"/>
  <c r="J13" i="1"/>
  <c r="D13" s="1"/>
  <c r="AK33" i="2"/>
  <c r="AX33"/>
  <c r="AX34"/>
  <c r="AX35" s="1"/>
  <c r="F25" i="5"/>
  <c r="CN31" i="2"/>
  <c r="C40" i="18"/>
  <c r="AC31" i="2"/>
  <c r="J8" i="1"/>
  <c r="W31" i="2"/>
  <c r="CE31"/>
  <c r="AU18"/>
  <c r="DH20"/>
  <c r="DB33"/>
  <c r="DC31"/>
  <c r="DB34"/>
  <c r="DB35" s="1"/>
  <c r="CB15"/>
  <c r="F4" i="18"/>
  <c r="E4"/>
  <c r="DZ33" i="2"/>
  <c r="J30" i="1"/>
  <c r="D30" s="1"/>
  <c r="DL28" i="2"/>
  <c r="E25" i="18"/>
  <c r="E25" i="10"/>
  <c r="C39" i="9"/>
  <c r="BE33" i="2"/>
  <c r="I18" i="1"/>
  <c r="C18" s="1"/>
  <c r="E72" i="10"/>
  <c r="F21" i="2"/>
  <c r="C27"/>
  <c r="H27"/>
  <c r="EE24"/>
  <c r="E72" i="14"/>
  <c r="F72"/>
  <c r="C98"/>
  <c r="G98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V33" i="2"/>
  <c r="CW31"/>
  <c r="CV34"/>
  <c r="CV35" s="1"/>
  <c r="E4" i="12"/>
  <c r="D40"/>
  <c r="F4"/>
  <c r="F12" i="9"/>
  <c r="E12"/>
  <c r="D4"/>
  <c r="Y31" i="2"/>
  <c r="Y35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5" s="1"/>
  <c r="F57" i="18"/>
  <c r="E57"/>
  <c r="C99"/>
  <c r="G99" s="1"/>
  <c r="EE25" i="2"/>
  <c r="E72" i="15"/>
  <c r="F72"/>
  <c r="ED21" i="2"/>
  <c r="DH21"/>
  <c r="ED19"/>
  <c r="DH19"/>
  <c r="E25" i="11"/>
  <c r="F25"/>
  <c r="EJ20" i="2"/>
  <c r="EI31"/>
  <c r="EI35" s="1"/>
  <c r="EG23"/>
  <c r="EG20"/>
  <c r="F96" i="13"/>
  <c r="EB31" i="2"/>
  <c r="EB35" s="1"/>
  <c r="DG19"/>
  <c r="ED27"/>
  <c r="CI33"/>
  <c r="CK31"/>
  <c r="DH17"/>
  <c r="EG17"/>
  <c r="EF31"/>
  <c r="EF35" s="1"/>
  <c r="EO31"/>
  <c r="EO35" s="1"/>
  <c r="EP18"/>
  <c r="BA18"/>
  <c r="AY31"/>
  <c r="AY35" s="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EL35" s="1"/>
  <c r="F103" i="9"/>
  <c r="E103"/>
  <c r="E76" i="7"/>
  <c r="F76"/>
  <c r="C97"/>
  <c r="EH17" i="2"/>
  <c r="EJ17" s="1"/>
  <c r="ES19"/>
  <c r="EQ31"/>
  <c r="EQ35" s="1"/>
  <c r="F25" i="4"/>
  <c r="E25"/>
  <c r="F74" i="19"/>
  <c r="EH29" i="2"/>
  <c r="E74" i="19"/>
  <c r="F95"/>
  <c r="EE26" i="2"/>
  <c r="F71" i="16"/>
  <c r="C97"/>
  <c r="G97" s="1"/>
  <c r="E71"/>
  <c r="EM14" i="2"/>
  <c r="E25" i="8"/>
  <c r="F25"/>
  <c r="F25" i="17"/>
  <c r="E25"/>
  <c r="G23" i="2"/>
  <c r="BR31"/>
  <c r="BR35" s="1"/>
  <c r="D39" i="8"/>
  <c r="F4"/>
  <c r="E4"/>
  <c r="D39" i="1"/>
  <c r="H39"/>
  <c r="G28"/>
  <c r="E96" i="13"/>
  <c r="F72" i="10"/>
  <c r="C99"/>
  <c r="E99" s="1"/>
  <c r="F25" i="18"/>
  <c r="DL20" i="2"/>
  <c r="C72" i="3"/>
  <c r="C39" i="8"/>
  <c r="C51" s="1"/>
  <c r="G51" s="1"/>
  <c r="F144" i="3"/>
  <c r="E4"/>
  <c r="D37" i="13"/>
  <c r="F25"/>
  <c r="E25"/>
  <c r="CB21" i="2"/>
  <c r="D21"/>
  <c r="EK27"/>
  <c r="DG27" s="1"/>
  <c r="C99" i="17"/>
  <c r="D16" i="1"/>
  <c r="E16" s="1"/>
  <c r="G14"/>
  <c r="H16"/>
  <c r="E4" i="19"/>
  <c r="C37"/>
  <c r="C48" s="1"/>
  <c r="F4"/>
  <c r="H7" i="1"/>
  <c r="F25" i="14"/>
  <c r="E25"/>
  <c r="I25" i="1"/>
  <c r="CR33" i="2"/>
  <c r="CT31"/>
  <c r="E38" i="4"/>
  <c r="F38"/>
  <c r="EJ26" i="2"/>
  <c r="DH26"/>
  <c r="F25"/>
  <c r="BS25"/>
  <c r="EV20"/>
  <c r="EU31"/>
  <c r="BB34"/>
  <c r="BB35" s="1"/>
  <c r="BB33"/>
  <c r="BD31"/>
  <c r="F73" i="6"/>
  <c r="F82" i="17"/>
  <c r="DH23" i="2"/>
  <c r="DH18"/>
  <c r="DL21"/>
  <c r="CB22"/>
  <c r="CA31"/>
  <c r="CA35" s="1"/>
  <c r="BJ33"/>
  <c r="BJ34"/>
  <c r="BJ35" s="1"/>
  <c r="DX31"/>
  <c r="DW33"/>
  <c r="DH27"/>
  <c r="DL27"/>
  <c r="AH33"/>
  <c r="J12" i="1"/>
  <c r="AI31" i="2"/>
  <c r="DJ31"/>
  <c r="DJ35" s="1"/>
  <c r="C50" i="13" l="1"/>
  <c r="G49"/>
  <c r="C52" i="12"/>
  <c r="G51"/>
  <c r="D53" i="18"/>
  <c r="H52"/>
  <c r="F51" i="11"/>
  <c r="E10" i="1"/>
  <c r="C52" i="8"/>
  <c r="DK33" i="2"/>
  <c r="DK35"/>
  <c r="I15" i="1"/>
  <c r="C15" s="1"/>
  <c r="AP35" i="2"/>
  <c r="AO33"/>
  <c r="AO35"/>
  <c r="J17" i="1"/>
  <c r="D17" s="1"/>
  <c r="AZ35" i="2"/>
  <c r="I30" i="1"/>
  <c r="C30" s="1"/>
  <c r="E30" s="1"/>
  <c r="DY35" i="2"/>
  <c r="I20" i="1"/>
  <c r="C20" s="1"/>
  <c r="BN35" i="2"/>
  <c r="EN33"/>
  <c r="EN35"/>
  <c r="D83" i="3"/>
  <c r="D84" s="1"/>
  <c r="D52" i="15"/>
  <c r="D52" i="11"/>
  <c r="D52" i="10"/>
  <c r="C52" i="9"/>
  <c r="C53" s="1"/>
  <c r="W33" i="2"/>
  <c r="C53" i="17"/>
  <c r="EW23" i="2"/>
  <c r="DG28"/>
  <c r="EW28" s="1"/>
  <c r="F25" i="16"/>
  <c r="BN33" i="2"/>
  <c r="E16"/>
  <c r="EX25"/>
  <c r="E28"/>
  <c r="C39" i="16"/>
  <c r="C50" s="1"/>
  <c r="BM34" i="2"/>
  <c r="BM35" s="1"/>
  <c r="EW20"/>
  <c r="J20" i="1"/>
  <c r="D20" s="1"/>
  <c r="BO33" i="2"/>
  <c r="C53" i="6"/>
  <c r="BP31" i="2"/>
  <c r="H16"/>
  <c r="DI14"/>
  <c r="EW19"/>
  <c r="EA31"/>
  <c r="DY33"/>
  <c r="DG21"/>
  <c r="DI21" s="1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4"/>
  <c r="BQ35" s="1"/>
  <c r="F40" i="18"/>
  <c r="K5" i="1"/>
  <c r="BZ33" i="2"/>
  <c r="C7" i="1"/>
  <c r="C4" s="1"/>
  <c r="EW27" i="2"/>
  <c r="J29" i="1"/>
  <c r="D29" s="1"/>
  <c r="D51" i="16"/>
  <c r="K10" i="1"/>
  <c r="H14"/>
  <c r="AP33" i="2"/>
  <c r="AR31"/>
  <c r="H29"/>
  <c r="EX24"/>
  <c r="E29"/>
  <c r="EX18"/>
  <c r="I37" i="1"/>
  <c r="C37" s="1"/>
  <c r="E39" i="11"/>
  <c r="E101" i="6"/>
  <c r="E40" i="18"/>
  <c r="C52"/>
  <c r="C48" i="4"/>
  <c r="E20" i="2"/>
  <c r="K6" i="1"/>
  <c r="DI20" i="2"/>
  <c r="DI22"/>
  <c r="C51" i="15"/>
  <c r="G51" s="1"/>
  <c r="F40"/>
  <c r="E40"/>
  <c r="D52" i="5"/>
  <c r="G52" s="1"/>
  <c r="E40"/>
  <c r="F40"/>
  <c r="E97" i="7"/>
  <c r="EX21" i="2"/>
  <c r="F97" i="7"/>
  <c r="DC34" i="2"/>
  <c r="DC35" s="1"/>
  <c r="DC33"/>
  <c r="AT33"/>
  <c r="J15" i="1"/>
  <c r="AU31" i="2"/>
  <c r="H28" i="1"/>
  <c r="EK31" i="2"/>
  <c r="E95" i="19"/>
  <c r="DG17" i="2"/>
  <c r="EW17" s="1"/>
  <c r="EM27"/>
  <c r="H21"/>
  <c r="C21"/>
  <c r="E21" s="1"/>
  <c r="F37" i="13"/>
  <c r="D49"/>
  <c r="H49" s="1"/>
  <c r="E37"/>
  <c r="C83" i="3"/>
  <c r="F72"/>
  <c r="E72"/>
  <c r="H23" i="2"/>
  <c r="D23"/>
  <c r="F97" i="16"/>
  <c r="E97"/>
  <c r="E4" i="7"/>
  <c r="D39"/>
  <c r="F4"/>
  <c r="H4" i="1"/>
  <c r="F23"/>
  <c r="F27" s="1"/>
  <c r="F43" s="1"/>
  <c r="EI33" i="2"/>
  <c r="J33" i="1"/>
  <c r="F98" i="15"/>
  <c r="E98"/>
  <c r="F99" i="18"/>
  <c r="E99"/>
  <c r="D17" i="2"/>
  <c r="H17"/>
  <c r="ET33"/>
  <c r="ET34"/>
  <c r="ET35" s="1"/>
  <c r="I41" i="1"/>
  <c r="DG16" i="2"/>
  <c r="EG16"/>
  <c r="EE31"/>
  <c r="EE35" s="1"/>
  <c r="E98" i="14"/>
  <c r="F98"/>
  <c r="F47" i="4"/>
  <c r="E47"/>
  <c r="D48"/>
  <c r="BD34" i="2"/>
  <c r="BD35" s="1"/>
  <c r="BD33"/>
  <c r="E37" i="19"/>
  <c r="F37"/>
  <c r="E39" i="1"/>
  <c r="J21"/>
  <c r="D21" s="1"/>
  <c r="BR33" i="2"/>
  <c r="BS31"/>
  <c r="EQ33"/>
  <c r="I38" i="1"/>
  <c r="ES31" i="2"/>
  <c r="EC33"/>
  <c r="J31" i="1"/>
  <c r="D31" s="1"/>
  <c r="ED31" i="2"/>
  <c r="BA31"/>
  <c r="AY33"/>
  <c r="I17" i="1"/>
  <c r="J32"/>
  <c r="EF33" i="2"/>
  <c r="I31" i="1"/>
  <c r="C31" s="1"/>
  <c r="EB33" i="2"/>
  <c r="EG25"/>
  <c r="DG25"/>
  <c r="DI25" s="1"/>
  <c r="J18" i="1"/>
  <c r="BF33" i="2"/>
  <c r="BG31"/>
  <c r="BG33" s="1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5" s="1"/>
  <c r="C52" i="11"/>
  <c r="E51"/>
  <c r="J41" i="1"/>
  <c r="EU34" i="2"/>
  <c r="EU35" s="1"/>
  <c r="EV31"/>
  <c r="EU33"/>
  <c r="EX26"/>
  <c r="F39" i="8"/>
  <c r="D51"/>
  <c r="E39"/>
  <c r="DG26" i="2"/>
  <c r="EW26" s="1"/>
  <c r="EG26"/>
  <c r="J36" i="1"/>
  <c r="EL33" i="2"/>
  <c r="E19"/>
  <c r="EX19"/>
  <c r="C18"/>
  <c r="H18"/>
  <c r="F31"/>
  <c r="F35" s="1"/>
  <c r="EO33"/>
  <c r="J37" i="1"/>
  <c r="EP31" i="2"/>
  <c r="E4" i="9"/>
  <c r="F4"/>
  <c r="D39"/>
  <c r="F40" i="12"/>
  <c r="D51"/>
  <c r="H51" s="1"/>
  <c r="E40"/>
  <c r="E99" i="17"/>
  <c r="H25" i="2"/>
  <c r="C25"/>
  <c r="K25" i="1"/>
  <c r="C25"/>
  <c r="E25" s="1"/>
  <c r="EJ29" i="2"/>
  <c r="DG29"/>
  <c r="F40" i="14"/>
  <c r="D51"/>
  <c r="H51" s="1"/>
  <c r="E40"/>
  <c r="D52" i="17"/>
  <c r="H52" s="1"/>
  <c r="E37"/>
  <c r="F37"/>
  <c r="H14" i="2"/>
  <c r="G31"/>
  <c r="G35" s="1"/>
  <c r="D14"/>
  <c r="EW15"/>
  <c r="DI15"/>
  <c r="C51" i="10"/>
  <c r="F39"/>
  <c r="E39"/>
  <c r="J7" i="1"/>
  <c r="J4" s="1"/>
  <c r="Y33" i="2"/>
  <c r="Z31"/>
  <c r="CW33"/>
  <c r="F99" i="17"/>
  <c r="C52" i="14"/>
  <c r="I29" i="1"/>
  <c r="C29" s="1"/>
  <c r="DJ33" i="2"/>
  <c r="EX27"/>
  <c r="DI27"/>
  <c r="K12" i="1"/>
  <c r="D12"/>
  <c r="DH31" i="2"/>
  <c r="DH35" s="1"/>
  <c r="DL31"/>
  <c r="CB31"/>
  <c r="J24" i="1"/>
  <c r="CA33" i="2"/>
  <c r="E50" i="16" l="1"/>
  <c r="G50"/>
  <c r="C53" i="18"/>
  <c r="G52"/>
  <c r="E20" i="1"/>
  <c r="E37"/>
  <c r="K30"/>
  <c r="EM31" i="2"/>
  <c r="EK35"/>
  <c r="C52" i="15"/>
  <c r="E31" i="1"/>
  <c r="E29"/>
  <c r="D28"/>
  <c r="K38"/>
  <c r="C38"/>
  <c r="DI28" i="2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EE33" i="2"/>
  <c r="G33"/>
  <c r="H31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C84" i="3"/>
  <c r="E83"/>
  <c r="F83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5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E12" i="1"/>
  <c r="K24"/>
  <c r="DI31" i="2" l="1"/>
  <c r="DG35"/>
  <c r="E38" i="1"/>
  <c r="C28"/>
  <c r="E28" s="1"/>
  <c r="E31" i="2"/>
  <c r="D33"/>
  <c r="I28" i="1"/>
  <c r="K28" s="1"/>
  <c r="DG33" i="2"/>
  <c r="EY14"/>
  <c r="EX31"/>
  <c r="EX35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5" s="1"/>
  <c r="C33"/>
  <c r="E17" i="1"/>
  <c r="C14"/>
  <c r="C23" s="1"/>
  <c r="C27" s="1"/>
  <c r="J43"/>
  <c r="C43" l="1"/>
  <c r="D23"/>
  <c r="D27" s="1"/>
  <c r="I43"/>
  <c r="F44" s="1"/>
  <c r="F45" s="1"/>
  <c r="E14"/>
  <c r="G44"/>
  <c r="EX33" i="2"/>
  <c r="EY31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<sst xmlns="http://schemas.openxmlformats.org/spreadsheetml/2006/main" count="2860" uniqueCount="441">
  <si>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</si>
  <si>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</si>
  <si>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</si>
  <si>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</si>
  <si>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</si>
  <si>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</si>
  <si>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</si>
  <si>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</si>
  <si>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</si>
  <si>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</si>
  <si>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</si>
  <si>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</si>
  <si>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</si>
  <si>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</si>
  <si>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</si>
  <si>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</si>
  <si>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</si>
  <si>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</si>
  <si>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</si>
  <si>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</si>
  <si>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</si>
  <si>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</si>
  <si>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</si>
  <si>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</si>
  <si>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</si>
  <si>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</si>
  <si>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</si>
  <si>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</si>
  <si>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</si>
  <si>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</si>
  <si>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</si>
  <si>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</si>
  <si>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</si>
  <si>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</si>
  <si>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</si>
  <si>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</si>
  <si>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</si>
  <si>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</si>
  <si>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</si>
  <si>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</si>
  <si>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</si>
  <si>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</si>
  <si>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</si>
  <si>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</si>
  <si>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</si>
  <si>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</si>
  <si>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</si>
  <si>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</si>
  <si>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</si>
  <si>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</si>
  <si>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</si>
  <si>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</si>
  <si>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</si>
  <si>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</si>
  <si>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</si>
  <si>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</si>
  <si>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</si>
  <si>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</si>
  <si>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</si>
  <si>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</si>
  <si>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</si>
  <si>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</si>
  <si>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</si>
  <si>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</si>
  <si>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</si>
  <si>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</si>
  <si>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</si>
  <si>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</si>
  <si>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</si>
  <si>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</si>
  <si>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</si>
  <si>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</si>
  <si>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</si>
  <si>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</si>
  <si>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</si>
  <si>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</si>
  <si>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</si>
  <si>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</si>
  <si>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</si>
  <si>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</si>
  <si>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</si>
  <si>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</si>
  <si>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</si>
  <si>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</si>
  <si>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</si>
  <si>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</si>
  <si>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</si>
  <si>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</si>
  <si>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</si>
  <si>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</si>
  <si>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</si>
  <si>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</si>
  <si>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</si>
  <si>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</si>
  <si>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</si>
  <si>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</si>
  <si>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</si>
  <si>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</si>
  <si>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</si>
  <si>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</si>
  <si>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</si>
  <si>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</si>
  <si>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</si>
  <si>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</si>
  <si>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</si>
  <si>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</si>
  <si>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</si>
  <si>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</si>
  <si>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</si>
  <si>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</si>
  <si>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</si>
  <si>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</si>
  <si>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</si>
  <si>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</si>
  <si>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</si>
  <si>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</si>
  <si>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</si>
  <si>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</si>
  <si>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</si>
  <si>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</si>
  <si>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</si>
  <si>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</si>
  <si>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</si>
  <si>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</si>
  <si>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</si>
  <si>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</si>
  <si>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</si>
  <si>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</si>
  <si>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</si>
  <si>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</si>
  <si>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</si>
  <si>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</si>
  <si>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</si>
  <si>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</si>
  <si>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</si>
  <si>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</si>
  <si>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</si>
  <si>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</si>
  <si>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</si>
  <si>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</si>
  <si>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</si>
  <si>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</si>
  <si>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</si>
  <si>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</si>
  <si>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</si>
  <si>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</si>
  <si>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</si>
  <si>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</si>
  <si>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</si>
  <si>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</si>
  <si>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</si>
  <si>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</si>
  <si>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</si>
  <si>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</si>
  <si>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</si>
  <si>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</si>
  <si>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</si>
  <si>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</si>
  <si>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</si>
  <si>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</si>
  <si>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</si>
  <si>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</si>
  <si>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</si>
  <si>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</si>
  <si>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</si>
  <si>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</si>
  <si>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</si>
  <si>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</si>
  <si>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</si>
  <si>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</si>
  <si>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</si>
  <si>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</si>
  <si>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</si>
  <si>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</si>
  <si>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</si>
  <si>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</si>
  <si>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</si>
  <si>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</si>
  <si>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</si>
  <si>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</si>
  <si>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</si>
  <si>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</si>
  <si>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</si>
  <si>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</si>
  <si>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</si>
  <si>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</si>
  <si>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</si>
  <si>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</si>
  <si>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</si>
  <si>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</si>
  <si>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</si>
  <si>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</si>
  <si>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</si>
  <si>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</si>
  <si>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</si>
  <si>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</si>
  <si>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</si>
  <si>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</si>
  <si>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</si>
  <si>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</si>
  <si>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</si>
  <si>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</si>
  <si>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</si>
  <si>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</si>
  <si>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</si>
  <si>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</si>
  <si>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</si>
  <si>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</si>
  <si>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</si>
  <si>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</si>
  <si>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</si>
  <si>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</si>
  <si>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</si>
  <si>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</si>
  <si>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</si>
  <si>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</si>
  <si>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</si>
  <si>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</si>
  <si>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</si>
  <si>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</si>
  <si>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</si>
  <si>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</si>
  <si>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</si>
  <si>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</si>
  <si>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</si>
  <si>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</si>
  <si>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</si>
  <si>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</si>
  <si>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</si>
  <si>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</si>
  <si>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</si>
  <si>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</si>
  <si>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</si>
  <si>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</si>
  <si>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</si>
  <si>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</si>
  <si>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</si>
  <si>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</si>
  <si>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</si>
  <si>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</si>
  <si>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</si>
  <si>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</si>
  <si>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</si>
  <si>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</si>
  <si>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</si>
  <si>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</si>
  <si>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</si>
  <si>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</si>
  <si>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</si>
  <si>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</si>
  <si>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</si>
  <si>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</si>
  <si>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</si>
  <si>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</si>
  <si>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</si>
  <si>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</si>
  <si>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</si>
  <si>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</si>
  <si>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</si>
  <si>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</si>
  <si>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</si>
  <si>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</si>
  <si>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</si>
  <si>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</si>
  <si>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</si>
  <si>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</si>
  <si>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</si>
  <si>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</si>
  <si>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</si>
  <si>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</si>
  <si>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</si>
  <si>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</si>
  <si>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</si>
  <si>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</si>
  <si>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</si>
  <si>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</si>
  <si>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</si>
  <si>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</si>
  <si>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</si>
  <si>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</si>
  <si>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</si>
  <si>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</si>
  <si>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</si>
  <si>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</si>
  <si>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</si>
  <si>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</si>
  <si>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</si>
  <si>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</si>
  <si>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</si>
  <si>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</si>
  <si>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</si>
  <si>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</si>
  <si>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</si>
  <si>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</si>
  <si>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</si>
  <si>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</si>
  <si>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</si>
  <si>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</si>
  <si>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</si>
  <si>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</si>
  <si>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</si>
  <si>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</si>
  <si>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</si>
  <si>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</si>
  <si>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</si>
  <si>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</si>
  <si>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</si>
  <si>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</si>
  <si>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</si>
  <si>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</si>
  <si>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</si>
  <si>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</si>
  <si>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</si>
  <si>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</si>
  <si>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</si>
  <si>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</si>
  <si>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</si>
  <si>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</si>
  <si>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</si>
  <si>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</si>
  <si>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</si>
  <si>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</si>
  <si>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</si>
  <si>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</si>
  <si>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</si>
  <si>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</si>
  <si>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</si>
  <si>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</si>
  <si>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</si>
  <si>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</si>
  <si>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</si>
  <si>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</si>
  <si>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</si>
  <si>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</si>
  <si>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</si>
  <si>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</si>
  <si>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</si>
  <si>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</si>
  <si>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</si>
  <si>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</si>
  <si>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</si>
  <si>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</si>
  <si>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</si>
  <si>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</si>
  <si>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</si>
  <si>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</si>
  <si>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</si>
  <si>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</si>
  <si>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</si>
  <si>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</si>
  <si>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</si>
  <si>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</si>
  <si>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</si>
  <si>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</si>
  <si>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</si>
  <si>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</si>
  <si>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</si>
  <si>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</si>
  <si>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</si>
  <si>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</si>
  <si>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</si>
  <si>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</si>
  <si>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</si>
  <si>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</si>
  <si>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</si>
  <si>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</si>
  <si>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</si>
  <si>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</si>
  <si>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</si>
  <si>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</si>
  <si>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</si>
  <si>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</si>
  <si>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</si>
  <si>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</si>
  <si>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</si>
  <si>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</si>
  <si>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</si>
  <si>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</si>
  <si>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</si>
  <si>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</si>
  <si>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</si>
  <si>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</si>
  <si>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</si>
  <si>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</si>
  <si>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</si>
  <si>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</si>
  <si>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</si>
  <si>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</si>
  <si>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</si>
  <si>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</si>
  <si>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</si>
  <si>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</si>
  <si>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</si>
  <si>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</si>
  <si>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</si>
  <si>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</si>
  <si>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</si>
  <si>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</si>
  <si>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</si>
  <si>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</si>
  <si>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</si>
  <si>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</si>
  <si>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</si>
  <si>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</si>
  <si>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</si>
  <si>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</si>
  <si>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</si>
  <si>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</si>
  <si>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</si>
  <si>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</si>
  <si>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</si>
  <si>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</si>
  <si>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</si>
  <si>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</si>
  <si>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</si>
  <si>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</si>
  <si>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</si>
  <si>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 xml:space="preserve">                     Анализ исполнения бюджета Александровского сельского поселения на 01.04.2019 г.</t>
  </si>
  <si>
    <t>исполнен на 01.04.2019 г.</t>
  </si>
  <si>
    <t>исполнено на 01.04.2019 г.</t>
  </si>
  <si>
    <t xml:space="preserve">                     Анализ исполнения бюджета Ярославского сельского поселения на 01.04.2019 г.</t>
  </si>
  <si>
    <t xml:space="preserve">                     Анализ исполнения бюджета Ярабайкасинского сельского поселения на 01.04.2019 г.</t>
  </si>
  <si>
    <t xml:space="preserve">                     Анализ исполнения бюджета Большесундырского сельского поселения на 01.04.2019 г.</t>
  </si>
  <si>
    <t>исполнено на 01.04.2019 г</t>
  </si>
  <si>
    <t xml:space="preserve">                     Анализ исполнения бюджета Сятракасинского сельского поселения на 01.04.2019 г.</t>
  </si>
  <si>
    <t xml:space="preserve">                     Анализ исполнения бюджета Орининского сельского поселения на 01.04.2019 г.</t>
  </si>
  <si>
    <t xml:space="preserve">                     Анализ исполнения бюджета Юськасинского сельского поселения на 01.04.2019 г.</t>
  </si>
  <si>
    <t>исполнено на 01.04.2019г.</t>
  </si>
  <si>
    <t xml:space="preserve">                     Анализ исполнения бюджета Шатьмапосинского сельского поселения на 01.04.2019 г.</t>
  </si>
  <si>
    <t xml:space="preserve">                     Анализ исполнения бюджета Чуманкасинского сельского поселения на 01.04.2019 г.</t>
  </si>
  <si>
    <t xml:space="preserve">                     Анализ исполнения бюджета Кадикасинского сельского поселения на 01.04.2019 г.</t>
  </si>
  <si>
    <t xml:space="preserve">                     Анализ исполнения бюджета Москакасинского сельского поселения на 01.04.2019 г.</t>
  </si>
  <si>
    <t xml:space="preserve">                     Анализ исполнения бюджета Моргаушского сельского поселения на 01.04.2019 г.</t>
  </si>
  <si>
    <t xml:space="preserve">                     Анализ исполнения бюджета Тораевского сельского поселения на 01.04.2019 г.</t>
  </si>
  <si>
    <t>Анализ исполнения консолидированного бюджета Моргаушского районана 01.04.2019 г.</t>
  </si>
  <si>
    <t xml:space="preserve">                          Моргаушского района на 01.04.2019 г. </t>
  </si>
  <si>
    <t xml:space="preserve">исполнено на 01.04.2019 г. </t>
  </si>
  <si>
    <t xml:space="preserve">                     Анализ исполнения бюджета Ильинского сельского поселения на 01.04.2019 г.</t>
  </si>
  <si>
    <t xml:space="preserve">                     Анализ исполнения бюджета Хорнойского сельского поселения на 01.04.2019 г.</t>
  </si>
  <si>
    <t xml:space="preserve">                     Анализ исполнения бюджета Юнгинского сельского поселения на 01.04.2019 г.</t>
  </si>
  <si>
    <t>об исполнении бюджетов поселений  Моргаушского района  на 1апреля 2019 г.</t>
  </si>
</sst>
</file>

<file path=xl/styles.xml><?xml version="1.0" encoding="utf-8"?>
<styleSheet xmlns="http://schemas.openxmlformats.org/spreadsheetml/2006/main">
  <numFmts count="2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  <numFmt numFmtId="187" formatCode="_(* #,##0.00000000_);_(* \(#,##0.00000000\);_(* &quot;-&quot;??_);_(@_)"/>
    <numFmt numFmtId="188" formatCode="_(* #,##0.000_);_(* \(#,##0.000\);_(* &quot;-&quot;??_);_(@_)"/>
    <numFmt numFmtId="189" formatCode="_-* #,##0.00000\ _₽_-;\-* #,##0.00000\ _₽_-;_-* &quot;-&quot;?????\ _₽_-;_-@_-"/>
  </numFmts>
  <fonts count="39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34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" fillId="0" borderId="0" xfId="9" applyNumberFormat="1" applyFont="1" applyAlignment="1">
      <alignment horizontal="right"/>
    </xf>
    <xf numFmtId="180" fontId="26" fillId="3" borderId="1" xfId="0" applyNumberFormat="1" applyFont="1" applyFill="1" applyBorder="1" applyAlignment="1">
      <alignment vertical="center" wrapText="1"/>
    </xf>
    <xf numFmtId="172" fontId="7" fillId="0" borderId="0" xfId="8" applyNumberFormat="1" applyFont="1"/>
    <xf numFmtId="177" fontId="3" fillId="0" borderId="0" xfId="9" applyNumberFormat="1" applyFont="1"/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5" fillId="0" borderId="1" xfId="11" applyNumberFormat="1" applyFont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74" fontId="3" fillId="0" borderId="1" xfId="11" applyNumberFormat="1" applyFont="1" applyBorder="1" applyAlignment="1">
      <alignment horizontal="right" vertical="center"/>
    </xf>
    <xf numFmtId="168" fontId="3" fillId="5" borderId="1" xfId="11" applyNumberFormat="1" applyFont="1" applyFill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4" fontId="3" fillId="3" borderId="1" xfId="12" applyNumberFormat="1" applyFont="1" applyFill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74" fontId="3" fillId="5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168" fontId="3" fillId="0" borderId="1" xfId="1" applyNumberFormat="1" applyFont="1" applyBorder="1" applyAlignment="1">
      <alignment horizontal="right" vertical="center"/>
    </xf>
    <xf numFmtId="0" fontId="19" fillId="0" borderId="1" xfId="10" applyFont="1" applyFill="1" applyBorder="1" applyAlignment="1">
      <alignment vertical="center" wrapText="1"/>
    </xf>
    <xf numFmtId="180" fontId="18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6" fontId="3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/>
    </xf>
    <xf numFmtId="176" fontId="5" fillId="0" borderId="1" xfId="6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7" fontId="5" fillId="0" borderId="1" xfId="6" applyNumberFormat="1" applyFont="1" applyBorder="1" applyAlignment="1">
      <alignment horizontal="right" vertical="center"/>
    </xf>
    <xf numFmtId="174" fontId="5" fillId="0" borderId="1" xfId="11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Fill="1" applyBorder="1" applyAlignment="1">
      <alignment horizontal="right" vertical="center"/>
    </xf>
    <xf numFmtId="166" fontId="33" fillId="5" borderId="1" xfId="11" applyNumberFormat="1" applyFont="1" applyFill="1" applyBorder="1" applyAlignment="1">
      <alignment horizontal="right" vertical="center"/>
    </xf>
    <xf numFmtId="174" fontId="5" fillId="3" borderId="1" xfId="0" applyNumberFormat="1" applyFont="1" applyFill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4" fontId="3" fillId="3" borderId="1" xfId="12" applyNumberFormat="1" applyFont="1" applyFill="1" applyBorder="1" applyAlignment="1">
      <alignment horizontal="right" vertical="center"/>
    </xf>
    <xf numFmtId="177" fontId="5" fillId="0" borderId="1" xfId="9" applyNumberFormat="1" applyFont="1" applyBorder="1" applyAlignment="1">
      <alignment horizontal="right"/>
    </xf>
    <xf numFmtId="177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74" fontId="5" fillId="2" borderId="1" xfId="2" applyNumberFormat="1" applyFont="1" applyFill="1" applyBorder="1" applyAlignment="1">
      <alignment horizontal="right" vertical="center" shrinkToFit="1"/>
    </xf>
    <xf numFmtId="174" fontId="5" fillId="2" borderId="1" xfId="3" applyNumberFormat="1" applyFont="1" applyFill="1" applyBorder="1" applyAlignment="1">
      <alignment horizontal="right" vertical="center" shrinkToFit="1"/>
    </xf>
    <xf numFmtId="174" fontId="5" fillId="2" borderId="1" xfId="4" applyNumberFormat="1" applyFont="1" applyFill="1" applyBorder="1" applyAlignment="1">
      <alignment horizontal="right" vertical="center" shrinkToFit="1"/>
    </xf>
    <xf numFmtId="187" fontId="3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/>
    </xf>
    <xf numFmtId="187" fontId="3" fillId="0" borderId="1" xfId="6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18" fillId="0" borderId="1" xfId="0" applyNumberFormat="1" applyFont="1" applyFill="1" applyBorder="1" applyAlignment="1" applyProtection="1">
      <alignment vertical="center" wrapText="1"/>
      <protection locked="0"/>
    </xf>
    <xf numFmtId="172" fontId="18" fillId="5" borderId="1" xfId="0" applyNumberFormat="1" applyFont="1" applyFill="1" applyBorder="1" applyAlignment="1" applyProtection="1">
      <alignment vertical="center" wrapText="1"/>
      <protection locked="0"/>
    </xf>
    <xf numFmtId="182" fontId="26" fillId="3" borderId="1" xfId="0" applyNumberFormat="1" applyFont="1" applyFill="1" applyBorder="1" applyAlignment="1">
      <alignment vertical="center" wrapText="1"/>
    </xf>
    <xf numFmtId="175" fontId="3" fillId="0" borderId="1" xfId="1" applyNumberFormat="1" applyFont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6" fontId="5" fillId="0" borderId="1" xfId="11" applyNumberFormat="1" applyFont="1" applyFill="1" applyBorder="1" applyAlignment="1">
      <alignment horizontal="right" vertical="center"/>
    </xf>
    <xf numFmtId="173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8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9" applyNumberFormat="1" applyFont="1" applyBorder="1" applyAlignment="1">
      <alignment horizontal="center" vertical="center" wrapText="1"/>
    </xf>
    <xf numFmtId="166" fontId="3" fillId="0" borderId="0" xfId="9" applyNumberFormat="1" applyFont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88" fontId="3" fillId="0" borderId="1" xfId="9" applyNumberFormat="1" applyFont="1" applyBorder="1" applyAlignment="1">
      <alignment horizontal="right" vertical="center"/>
    </xf>
    <xf numFmtId="176" fontId="3" fillId="0" borderId="1" xfId="6" applyNumberFormat="1" applyFont="1" applyBorder="1" applyAlignment="1">
      <alignment horizontal="right" vertical="center"/>
    </xf>
    <xf numFmtId="188" fontId="3" fillId="0" borderId="1" xfId="11" applyNumberFormat="1" applyFont="1" applyBorder="1" applyAlignment="1">
      <alignment horizontal="right" vertical="center"/>
    </xf>
    <xf numFmtId="183" fontId="18" fillId="3" borderId="1" xfId="0" applyNumberFormat="1" applyFont="1" applyFill="1" applyBorder="1"/>
    <xf numFmtId="183" fontId="18" fillId="0" borderId="1" xfId="0" applyNumberFormat="1" applyFont="1" applyFill="1" applyBorder="1"/>
    <xf numFmtId="183" fontId="18" fillId="5" borderId="1" xfId="0" applyNumberFormat="1" applyFont="1" applyFill="1" applyBorder="1"/>
    <xf numFmtId="166" fontId="30" fillId="5" borderId="1" xfId="0" applyNumberFormat="1" applyFont="1" applyFill="1" applyBorder="1" applyAlignment="1">
      <alignment horizontal="center" vertical="center" wrapText="1"/>
    </xf>
    <xf numFmtId="175" fontId="29" fillId="5" borderId="1" xfId="0" applyNumberFormat="1" applyFont="1" applyFill="1" applyBorder="1" applyAlignment="1">
      <alignment horizontal="center" vertical="center" wrapText="1"/>
    </xf>
    <xf numFmtId="168" fontId="29" fillId="5" borderId="1" xfId="0" applyNumberFormat="1" applyFont="1" applyFill="1" applyBorder="1" applyAlignment="1">
      <alignment horizontal="center" vertical="center" wrapText="1"/>
    </xf>
    <xf numFmtId="166" fontId="38" fillId="0" borderId="1" xfId="6" applyNumberFormat="1" applyFont="1" applyBorder="1" applyAlignment="1">
      <alignment horizontal="right"/>
    </xf>
    <xf numFmtId="49" fontId="38" fillId="0" borderId="1" xfId="9" applyNumberFormat="1" applyFont="1" applyFill="1" applyBorder="1" applyAlignment="1" applyProtection="1">
      <alignment horizontal="center"/>
    </xf>
    <xf numFmtId="172" fontId="25" fillId="3" borderId="1" xfId="0" applyNumberFormat="1" applyFont="1" applyFill="1" applyBorder="1" applyAlignment="1">
      <alignment vertical="center" wrapText="1"/>
    </xf>
    <xf numFmtId="173" fontId="18" fillId="5" borderId="1" xfId="0" applyNumberFormat="1" applyFont="1" applyFill="1" applyBorder="1" applyAlignment="1">
      <alignment vertical="center" wrapText="1"/>
    </xf>
    <xf numFmtId="174" fontId="32" fillId="5" borderId="1" xfId="12" applyNumberFormat="1" applyFont="1" applyFill="1" applyBorder="1" applyAlignment="1">
      <alignment horizontal="right" vertical="center"/>
    </xf>
    <xf numFmtId="186" fontId="29" fillId="3" borderId="1" xfId="0" applyNumberFormat="1" applyFont="1" applyFill="1" applyBorder="1" applyAlignment="1">
      <alignment horizontal="center" vertical="center" wrapText="1"/>
    </xf>
    <xf numFmtId="168" fontId="29" fillId="3" borderId="1" xfId="0" applyNumberFormat="1" applyFont="1" applyFill="1" applyBorder="1" applyAlignment="1">
      <alignment horizontal="center" vertical="center" wrapText="1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0" xfId="9" applyNumberFormat="1" applyFont="1"/>
    <xf numFmtId="189" fontId="3" fillId="0" borderId="0" xfId="9" applyNumberFormat="1" applyFont="1"/>
    <xf numFmtId="167" fontId="3" fillId="0" borderId="1" xfId="12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2" fillId="5" borderId="1" xfId="12" applyNumberFormat="1" applyFont="1" applyFill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07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EE146906-DCC9-4979-AB1F-A46571D1898C}" diskRevisions="1" revisionId="37613" version="2">
  <header guid="{EE146906-DCC9-4979-AB1F-A46571D1898C}" dateTime="2019-05-10T13:01:27" maxSheetId="22" userName="1" r:id="rId1077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35821C05_60FE_4C33_8558_8CF10812F6FC_.wvu.PrintArea" hidden="1" oldHidden="1">
    <formula>Консол!$A$1:$K$50</formula>
  </rdn>
  <rdn rId="0" localSheetId="1" customView="1" name="Z_35821C05_60FE_4C33_8558_8CF10812F6FC_.wvu.Rows" hidden="1" oldHidden="1">
    <formula>Консол!$22:$22,Консол!$43:$45,Консол!$82:$84</formula>
  </rdn>
  <rdn rId="0" localSheetId="2" customView="1" name="Z_35821C05_60FE_4C33_8558_8CF10812F6FC_.wvu.PrintArea" hidden="1" oldHidden="1">
    <formula>Справка!$A$1:$EY$31</formula>
  </rdn>
  <rdn rId="0" localSheetId="2" customView="1" name="Z_35821C05_60FE_4C33_8558_8CF10812F6FC_.wvu.Rows" hidden="1" oldHidden="1">
    <formula>Справка!$33:$34</formula>
  </rdn>
  <rdn rId="0" localSheetId="2" customView="1" name="Z_35821C05_60FE_4C33_8558_8CF10812F6FC_.wvu.Cols" hidden="1" oldHidden="1">
    <formula>Справка!$AV:$AX,Справка!$BB:$BD,Справка!$BH:$BM,Справка!$BT:$BY,Справка!$CX:$DF</formula>
  </rdn>
  <rdn rId="0" localSheetId="3" customView="1" name="Z_35821C05_60FE_4C33_8558_8CF10812F6FC_.wvu.Rows" hidden="1" oldHidden="1">
    <formula>район!$17:$18,район!$20:$20,район!$28:$30,район!$50:$51,район!$75:$75,район!$82:$82,район!$99:$99,район!$105:$105,район!$133:$135</formula>
  </rdn>
  <rdn rId="0" localSheetId="4" customView="1" name="Z_35821C05_60FE_4C33_8558_8CF10812F6FC_.wvu.Rows" hidden="1" oldHidden="1">
    <formula>Але!$19:$24,Але!$44:$44,Але!$46:$46,Але!$53:$53,Але!$55:$56,Але!$63:$64,Але!$74:$75,Але!$79:$83,Але!$87:$89</formula>
  </rdn>
  <rdn rId="0" localSheetId="5" customView="1" name="Z_35821C05_60FE_4C33_8558_8CF10812F6FC_.wvu.Rows" hidden="1" oldHidden="1">
    <formula>Сун!$19:$24,Сун!$49:$51,Сун!$58:$58,Сун!$60:$61,Сун!$68:$69,Сун!$79:$80,Сун!$82:$82,Сун!$88:$89,Сун!$93:$97</formula>
  </rdn>
  <rdn rId="0" localSheetId="6" customView="1" name="Z_35821C05_60FE_4C33_8558_8CF10812F6FC_.wvu.PrintArea" hidden="1" oldHidden="1">
    <formula>Иль!$A$1:$F$104</formula>
  </rdn>
  <rdn rId="0" localSheetId="6" customView="1" name="Z_35821C05_60FE_4C33_8558_8CF10812F6FC_.wvu.Rows" hidden="1" oldHidden="1">
    <formula>Иль!$19:$24,Иль!$30:$31,Иль!$33:$33,Иль!$45:$45,Иль!$50:$50,Иль!$60:$61,Иль!$68:$69,Иль!$78:$79,Иль!$81:$81,Иль!$93:$97</formula>
  </rdn>
  <rdn rId="0" localSheetId="7" customView="1" name="Z_35821C05_60FE_4C33_8558_8CF10812F6FC_.wvu.Rows" hidden="1" oldHidden="1">
    <formula>Кад!$19:$24,Кад!$44:$44,Кад!$56:$56,Кад!$58:$59,Кад!$66:$67,Кад!$83:$85,Кад!$89:$96</formula>
  </rdn>
  <rdn rId="0" localSheetId="8" customView="1" name="Z_35821C05_60FE_4C33_8558_8CF10812F6FC_.wvu.PrintArea" hidden="1" oldHidden="1">
    <formula>Мор!$A$1:$F$101</formula>
  </rdn>
  <rdn rId="0" localSheetId="8" customView="1" name="Z_35821C05_60FE_4C33_8558_8CF10812F6FC_.wvu.Rows" hidden="1" oldHidden="1">
    <formula>Мор!$21:$21,Мор!$23:$23,Мор!$37:$37,Мор!$44:$44,Мор!$47:$47,Мор!$49:$50,Мор!$57:$57,Мор!$59:$60,Мор!$67:$68,Мор!$83:$88,Мор!$91:$97</formula>
  </rdn>
  <rdn rId="0" localSheetId="9" customView="1" name="Z_35821C05_60FE_4C33_8558_8CF10812F6FC_.wvu.Rows" hidden="1" oldHidden="1">
    <formula>Мос!$19:$24,Мос!$44:$44,Мос!$58:$58,Мос!$60:$61,Мос!$68:$69,Мос!$82:$82,Мос!$84:$90,Мос!$95:$100</formula>
  </rdn>
  <rdn rId="0" localSheetId="10" customView="1" name="Z_35821C05_60FE_4C33_8558_8CF10812F6FC_.wvu.Rows" hidden="1" oldHidden="1">
    <formula>Ори!$19:$24,Ори!$32:$32,Ори!$44:$44,Ори!$48:$50,Ори!$57:$57,Ори!$59:$60,Ори!$67:$68,Ори!$78:$79,Ори!$81:$81,Ори!$83:$87,Ори!$91:$98</formula>
  </rdn>
  <rdn rId="0" localSheetId="11" customView="1" name="Z_35821C05_60FE_4C33_8558_8CF10812F6FC_.wvu.Rows" hidden="1" oldHidden="1">
    <formula>Сят!$19:$19,Сят!$45:$47,Сят!$57:$57,Сят!$59:$60,Сят!$67:$68,Сят!$83:$86,Сят!$90:$97</formula>
  </rdn>
  <rdn rId="0" localSheetId="12" customView="1" name="Z_35821C05_60FE_4C33_8558_8CF10812F6FC_.wvu.PrintArea" hidden="1" oldHidden="1">
    <formula>Тор!$A$1:$F$102</formula>
  </rdn>
  <rdn rId="0" localSheetId="12" customView="1" name="Z_35821C05_60FE_4C33_8558_8CF10812F6FC_.wvu.Rows" hidden="1" oldHidden="1">
    <formula>Тор!$19:$19,Тор!$50:$50,Тор!$57:$57,Тор!$59:$60,Тор!$67:$68,Тор!$75:$75,Тор!$79:$80,Тор!$83:$94</formula>
  </rdn>
  <rdn rId="0" localSheetId="13" customView="1" name="Z_35821C05_60FE_4C33_8558_8CF10812F6FC_.wvu.Rows" hidden="1" oldHidden="1">
    <formula>Хор!$19:$24,Хор!$32:$32,Хор!$40:$40,Хор!$44:$44,Хор!$55:$55,Хор!$57:$58,Хор!$65:$66,Хор!$81:$85,Хор!$88:$95</formula>
  </rdn>
  <rdn rId="0" localSheetId="14" customView="1" name="Z_35821C05_60FE_4C33_8558_8CF10812F6FC_.wvu.Rows" hidden="1" oldHidden="1">
    <formula>Чум!$19:$19,Чум!$21:$21,Чум!$23:$24,Чум!$47:$49,Чум!$57:$57,Чум!$59:$60,Чум!$67:$68,Чум!$83:$87,Чум!$90:$97</formula>
  </rdn>
  <rdn rId="0" localSheetId="15" customView="1" name="Z_35821C05_60FE_4C33_8558_8CF10812F6FC_.wvu.Rows" hidden="1" oldHidden="1">
    <formula>Шать!$19:$24,Шать!$47:$49,Шать!$57:$57,Шать!$59:$60,Шать!$67:$68,Шать!$78:$79,Шать!$83:$87,Шать!$90:$97</formula>
  </rdn>
  <rdn rId="0" localSheetId="16" customView="1" name="Z_35821C05_60FE_4C33_8558_8CF10812F6FC_.wvu.PrintArea" hidden="1" oldHidden="1">
    <formula>Юнг!$A$1:$F$100</formula>
  </rdn>
  <rdn rId="0" localSheetId="16" customView="1" name="Z_35821C05_60FE_4C33_8558_8CF10812F6FC_.wvu.Rows" hidden="1" oldHidden="1">
    <formula>Юнг!$19:$24,Юнг!$32:$32,Юнг!$49:$49,Юнг!$56:$56,Юнг!$58:$59,Юнг!$66:$67,Юнг!$82:$86,Юнг!$89:$96</formula>
  </rdn>
  <rdn rId="0" localSheetId="17" customView="1" name="Z_35821C05_60FE_4C33_8558_8CF10812F6FC_.wvu.Rows" hidden="1" oldHidden="1">
    <formula>Юсь!$20:$24,Юсь!$40:$40,Юсь!$44:$49,Юсь!$58:$58,Юсь!$60:$61,Юсь!$68:$69,Юсь!$79:$80,Юсь!$83:$88,Юсь!$91:$98</formula>
  </rdn>
  <rdn rId="0" localSheetId="18" customView="1" name="Z_35821C05_60FE_4C33_8558_8CF10812F6FC_.wvu.PrintArea" hidden="1" oldHidden="1">
    <formula>Яра!$A$1:$F$102</formula>
  </rdn>
  <rdn rId="0" localSheetId="18" customView="1" name="Z_35821C05_60FE_4C33_8558_8CF10812F6FC_.wvu.Rows" hidden="1" oldHidden="1">
    <formula>Яра!$19:$24,Яра!$46:$50,Яра!$58:$58,Яра!$60:$61,Яра!$68:$69,Яра!$79:$79,Яра!$82:$88,Яра!$91:$98</formula>
  </rdn>
  <rdn rId="0" localSheetId="19" customView="1" name="Z_35821C05_60FE_4C33_8558_8CF10812F6FC_.wvu.Rows" hidden="1" oldHidden="1">
    <formula>Яро!$19:$24,Яро!$29:$30,Яро!$32:$32,Яро!$43:$43,Яро!$54:$54,Яро!$56:$57,Яро!$64:$65,Яро!$75:$76,Яро!$80:$85,Яро!$87:$94</formula>
  </rdn>
  <rdn rId="0" localSheetId="20" customView="1" name="Z_35821C05_60FE_4C33_8558_8CF10812F6FC_.wvu.Rows" hidden="1" oldHidden="1">
    <formula>Лист1!$82:$84</formula>
  </rdn>
  <rcv guid="{35821C05-60FE-4C33-8558-8CF10812F6FC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1.bin"/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view="pageBreakPreview" zoomScale="80" zoomScaleNormal="100" zoomScaleSheetLayoutView="80" workbookViewId="0">
      <selection activeCell="D24" sqref="D24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93" t="s">
        <v>434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123"/>
      <c r="M1" s="123"/>
      <c r="N1" s="123"/>
      <c r="O1" s="123"/>
    </row>
    <row r="2" spans="1:15" ht="33.75" customHeight="1">
      <c r="A2" s="491" t="s">
        <v>181</v>
      </c>
      <c r="B2" s="492" t="s">
        <v>182</v>
      </c>
      <c r="C2" s="488" t="s">
        <v>183</v>
      </c>
      <c r="D2" s="489"/>
      <c r="E2" s="489"/>
      <c r="F2" s="488" t="s">
        <v>184</v>
      </c>
      <c r="G2" s="489"/>
      <c r="H2" s="489"/>
      <c r="I2" s="488" t="s">
        <v>185</v>
      </c>
      <c r="J2" s="489"/>
      <c r="K2" s="494"/>
    </row>
    <row r="3" spans="1:15" ht="53.25" customHeight="1">
      <c r="A3" s="491"/>
      <c r="B3" s="492"/>
      <c r="C3" s="78" t="s">
        <v>411</v>
      </c>
      <c r="D3" s="78" t="s">
        <v>419</v>
      </c>
      <c r="E3" s="138" t="s">
        <v>332</v>
      </c>
      <c r="F3" s="78" t="s">
        <v>411</v>
      </c>
      <c r="G3" s="78" t="s">
        <v>419</v>
      </c>
      <c r="H3" s="138" t="s">
        <v>332</v>
      </c>
      <c r="I3" s="78" t="s">
        <v>411</v>
      </c>
      <c r="J3" s="78" t="s">
        <v>419</v>
      </c>
      <c r="K3" s="78" t="s">
        <v>332</v>
      </c>
    </row>
    <row r="4" spans="1:15" s="80" customFormat="1" ht="30.75" customHeight="1">
      <c r="A4" s="79" t="s">
        <v>5</v>
      </c>
      <c r="B4" s="76"/>
      <c r="C4" s="302">
        <f>SUM(C5:C13)</f>
        <v>169915.38229000001</v>
      </c>
      <c r="D4" s="302">
        <f>SUM(D5:D13)</f>
        <v>35742.844320000004</v>
      </c>
      <c r="E4" s="302">
        <f>D4/C4*100</f>
        <v>21.035673073434015</v>
      </c>
      <c r="F4" s="302">
        <f>SUM(F5:F13)</f>
        <v>133077.39000000001</v>
      </c>
      <c r="G4" s="302">
        <f>SUM(G5:G13)</f>
        <v>29832.282010000003</v>
      </c>
      <c r="H4" s="302">
        <f>G4/F4*100</f>
        <v>22.417243086898534</v>
      </c>
      <c r="I4" s="302">
        <f>I5+I7+I6+I8+I10+I11+I12+I13</f>
        <v>36837.992289999995</v>
      </c>
      <c r="J4" s="302">
        <f>J5+J6+J7+J8+J10+J11+J12+J13</f>
        <v>5910.5623100000012</v>
      </c>
      <c r="K4" s="302">
        <f>J4/I4*100</f>
        <v>16.044746042265924</v>
      </c>
    </row>
    <row r="5" spans="1:15" ht="27" customHeight="1">
      <c r="A5" s="81" t="s">
        <v>186</v>
      </c>
      <c r="B5" s="77">
        <v>10102</v>
      </c>
      <c r="C5" s="303">
        <f t="shared" ref="C5:D8" si="0">F5+I5</f>
        <v>116004</v>
      </c>
      <c r="D5" s="303">
        <f t="shared" si="0"/>
        <v>25376.5039</v>
      </c>
      <c r="E5" s="304">
        <f t="shared" ref="E5:E12" si="1">D5/C5*100</f>
        <v>21.875542136478053</v>
      </c>
      <c r="F5" s="303">
        <f>район!C5</f>
        <v>110707.3</v>
      </c>
      <c r="G5" s="303">
        <f>район!D5</f>
        <v>24203.88337</v>
      </c>
      <c r="H5" s="304">
        <f t="shared" ref="H5:H41" si="2">G5/F5*100</f>
        <v>21.862951557846682</v>
      </c>
      <c r="I5" s="303">
        <f>Справка!I31</f>
        <v>5296.6999999999989</v>
      </c>
      <c r="J5" s="303">
        <f>Справка!J31</f>
        <v>1172.6205300000004</v>
      </c>
      <c r="K5" s="304">
        <f t="shared" ref="K5:K12" si="3">J5/I5*100</f>
        <v>22.138700134045738</v>
      </c>
    </row>
    <row r="6" spans="1:15" ht="41.25" customHeight="1">
      <c r="A6" s="81" t="s">
        <v>284</v>
      </c>
      <c r="B6" s="77">
        <v>10300</v>
      </c>
      <c r="C6" s="303">
        <f t="shared" si="0"/>
        <v>12565.805</v>
      </c>
      <c r="D6" s="303">
        <f t="shared" si="0"/>
        <v>3687.6203599999999</v>
      </c>
      <c r="E6" s="304">
        <f t="shared" si="1"/>
        <v>29.346471316401935</v>
      </c>
      <c r="F6" s="303">
        <f>район!C7</f>
        <v>4391.8900000000003</v>
      </c>
      <c r="G6" s="303">
        <f>район!D7</f>
        <v>1288.8647600000002</v>
      </c>
      <c r="H6" s="304">
        <f t="shared" si="2"/>
        <v>29.346471792326312</v>
      </c>
      <c r="I6" s="303">
        <f>Справка!L31+Справка!R31+Справка!O31</f>
        <v>8173.915</v>
      </c>
      <c r="J6" s="303">
        <f>Справка!M31+Справка!S31+Справка!P31+Справка!V31</f>
        <v>2398.7556</v>
      </c>
      <c r="K6" s="304">
        <f t="shared" si="3"/>
        <v>29.346471060685118</v>
      </c>
    </row>
    <row r="7" spans="1:15" ht="19.5" customHeight="1">
      <c r="A7" s="81" t="s">
        <v>187</v>
      </c>
      <c r="B7" s="77">
        <v>10500</v>
      </c>
      <c r="C7" s="303">
        <f t="shared" si="0"/>
        <v>12698.2</v>
      </c>
      <c r="D7" s="303">
        <f t="shared" si="0"/>
        <v>3443.8645300000003</v>
      </c>
      <c r="E7" s="304">
        <f t="shared" si="1"/>
        <v>27.120887448614766</v>
      </c>
      <c r="F7" s="303">
        <f>район!C12</f>
        <v>12228.2</v>
      </c>
      <c r="G7" s="303">
        <f>район!D12</f>
        <v>3181.1985200000004</v>
      </c>
      <c r="H7" s="304">
        <f t="shared" si="2"/>
        <v>26.015264061758884</v>
      </c>
      <c r="I7" s="303">
        <f>Справка!X31</f>
        <v>470</v>
      </c>
      <c r="J7" s="303">
        <f>Справка!Y31</f>
        <v>262.66600999999997</v>
      </c>
      <c r="K7" s="304">
        <f t="shared" si="3"/>
        <v>55.886385106382974</v>
      </c>
    </row>
    <row r="8" spans="1:15" ht="19.5" customHeight="1">
      <c r="A8" s="81" t="s">
        <v>188</v>
      </c>
      <c r="B8" s="77">
        <v>10601</v>
      </c>
      <c r="C8" s="303">
        <f t="shared" si="0"/>
        <v>5031</v>
      </c>
      <c r="D8" s="303">
        <f t="shared" si="0"/>
        <v>514.52205000000004</v>
      </c>
      <c r="E8" s="304">
        <f t="shared" si="1"/>
        <v>10.227033392963627</v>
      </c>
      <c r="F8" s="303"/>
      <c r="G8" s="303"/>
      <c r="H8" s="304"/>
      <c r="I8" s="303">
        <f>Справка!AA31</f>
        <v>5031</v>
      </c>
      <c r="J8" s="303">
        <f>Справка!AB31</f>
        <v>514.52205000000004</v>
      </c>
      <c r="K8" s="304">
        <f t="shared" si="3"/>
        <v>10.227033392963627</v>
      </c>
    </row>
    <row r="9" spans="1:15" ht="19.5" customHeight="1">
      <c r="A9" s="81" t="s">
        <v>285</v>
      </c>
      <c r="B9" s="77">
        <v>10604</v>
      </c>
      <c r="C9" s="303">
        <f>F9</f>
        <v>2050</v>
      </c>
      <c r="D9" s="303">
        <f>G9</f>
        <v>209.37182999999999</v>
      </c>
      <c r="E9" s="304">
        <f t="shared" si="1"/>
        <v>10.213259999999998</v>
      </c>
      <c r="F9" s="303">
        <f>район!C16</f>
        <v>2050</v>
      </c>
      <c r="G9" s="303">
        <f>район!D19</f>
        <v>209.37182999999999</v>
      </c>
      <c r="H9" s="304">
        <f t="shared" si="2"/>
        <v>10.213259999999998</v>
      </c>
      <c r="I9" s="303"/>
      <c r="J9" s="303"/>
      <c r="K9" s="304"/>
    </row>
    <row r="10" spans="1:15" ht="19.5" customHeight="1">
      <c r="A10" s="81" t="s">
        <v>189</v>
      </c>
      <c r="B10" s="77">
        <v>10606</v>
      </c>
      <c r="C10" s="303">
        <f t="shared" ref="C10:D13" si="4">F10+I10</f>
        <v>17719.37729</v>
      </c>
      <c r="D10" s="303">
        <f t="shared" si="4"/>
        <v>1534.1131200000002</v>
      </c>
      <c r="E10" s="304">
        <f t="shared" si="1"/>
        <v>8.6578275008895655</v>
      </c>
      <c r="F10" s="303"/>
      <c r="G10" s="303"/>
      <c r="H10" s="304">
        <v>0</v>
      </c>
      <c r="I10" s="303">
        <f>Справка!AD31</f>
        <v>17719.37729</v>
      </c>
      <c r="J10" s="303">
        <f>Справка!AE31</f>
        <v>1534.1131200000002</v>
      </c>
      <c r="K10" s="304">
        <f t="shared" si="3"/>
        <v>8.6578275008895655</v>
      </c>
    </row>
    <row r="11" spans="1:15" ht="33.75" customHeight="1">
      <c r="A11" s="81" t="s">
        <v>190</v>
      </c>
      <c r="B11" s="77">
        <v>10701</v>
      </c>
      <c r="C11" s="303">
        <f t="shared" si="4"/>
        <v>1000</v>
      </c>
      <c r="D11" s="303">
        <f t="shared" si="4"/>
        <v>355.36275999999998</v>
      </c>
      <c r="E11" s="304">
        <f t="shared" si="1"/>
        <v>35.536276000000001</v>
      </c>
      <c r="F11" s="303">
        <f>район!C21</f>
        <v>1000</v>
      </c>
      <c r="G11" s="303">
        <f>район!D21</f>
        <v>355.36275999999998</v>
      </c>
      <c r="H11" s="304">
        <f t="shared" si="2"/>
        <v>35.536276000000001</v>
      </c>
      <c r="I11" s="303"/>
      <c r="J11" s="303"/>
      <c r="K11" s="304">
        <v>0</v>
      </c>
    </row>
    <row r="12" spans="1:15" ht="19.5" customHeight="1">
      <c r="A12" s="81" t="s">
        <v>191</v>
      </c>
      <c r="B12" s="77">
        <v>10800</v>
      </c>
      <c r="C12" s="303">
        <f t="shared" si="4"/>
        <v>2847</v>
      </c>
      <c r="D12" s="303">
        <f t="shared" si="4"/>
        <v>621.48577</v>
      </c>
      <c r="E12" s="304">
        <f t="shared" si="1"/>
        <v>21.829496663154195</v>
      </c>
      <c r="F12" s="303">
        <f>район!C23</f>
        <v>2700</v>
      </c>
      <c r="G12" s="303">
        <f>район!D23</f>
        <v>593.60077000000001</v>
      </c>
      <c r="H12" s="304">
        <f t="shared" si="2"/>
        <v>21.985213703703703</v>
      </c>
      <c r="I12" s="303">
        <f>Справка!AG31</f>
        <v>147</v>
      </c>
      <c r="J12" s="303">
        <f>Справка!AH31</f>
        <v>27.885000000000002</v>
      </c>
      <c r="K12" s="304">
        <f t="shared" si="3"/>
        <v>18.969387755102041</v>
      </c>
    </row>
    <row r="13" spans="1:15" ht="19.5" customHeight="1">
      <c r="A13" s="81" t="s">
        <v>192</v>
      </c>
      <c r="B13" s="77">
        <v>10900</v>
      </c>
      <c r="C13" s="303">
        <f t="shared" si="4"/>
        <v>0</v>
      </c>
      <c r="D13" s="303">
        <f t="shared" si="4"/>
        <v>0</v>
      </c>
      <c r="E13" s="304"/>
      <c r="F13" s="303">
        <f>район!C27</f>
        <v>0</v>
      </c>
      <c r="G13" s="303">
        <f>район!D27</f>
        <v>0</v>
      </c>
      <c r="H13" s="304"/>
      <c r="I13" s="303">
        <f>Справка!AJ31</f>
        <v>0</v>
      </c>
      <c r="J13" s="303">
        <f>Справка!AK31</f>
        <v>0</v>
      </c>
      <c r="K13" s="304"/>
    </row>
    <row r="14" spans="1:15" s="80" customFormat="1" ht="27" customHeight="1">
      <c r="A14" s="79" t="s">
        <v>13</v>
      </c>
      <c r="B14" s="76"/>
      <c r="C14" s="302">
        <f>SUM(C15:C21)</f>
        <v>30544.87628</v>
      </c>
      <c r="D14" s="302">
        <f>SUM(D15:D21)</f>
        <v>5424.6504000000004</v>
      </c>
      <c r="E14" s="302">
        <f t="shared" ref="E14:E39" si="5">D14/C14*100</f>
        <v>17.759608355499942</v>
      </c>
      <c r="F14" s="302">
        <f>F15+F16+F17+F18+F20+F21+F19</f>
        <v>28011.599999999999</v>
      </c>
      <c r="G14" s="302">
        <f>G15+G16+G17+G18+G20+G21+G19</f>
        <v>4745.4373599999999</v>
      </c>
      <c r="H14" s="302">
        <f t="shared" si="2"/>
        <v>16.940972168672978</v>
      </c>
      <c r="I14" s="305">
        <f>I15+I16+I17+I18+I20+I21+I26</f>
        <v>2533.2762800000005</v>
      </c>
      <c r="J14" s="305">
        <f>J15+J16+J17+J18+J20+J21+J26</f>
        <v>679.21303999999998</v>
      </c>
      <c r="K14" s="302">
        <f>J14/I14*100</f>
        <v>26.811644879097035</v>
      </c>
    </row>
    <row r="15" spans="1:15" ht="52.5" customHeight="1">
      <c r="A15" s="81" t="s">
        <v>193</v>
      </c>
      <c r="B15" s="77">
        <v>11100</v>
      </c>
      <c r="C15" s="303">
        <f t="shared" ref="C15:D22" si="6">F15+I15</f>
        <v>13366.7</v>
      </c>
      <c r="D15" s="303">
        <f t="shared" si="6"/>
        <v>3404.3231999999998</v>
      </c>
      <c r="E15" s="303">
        <f t="shared" si="5"/>
        <v>25.468688606761575</v>
      </c>
      <c r="F15" s="303">
        <f>район!C33</f>
        <v>11511.6</v>
      </c>
      <c r="G15" s="303">
        <f>район!D33</f>
        <v>3087.4799699999999</v>
      </c>
      <c r="H15" s="303">
        <f t="shared" si="2"/>
        <v>26.82059809235901</v>
      </c>
      <c r="I15" s="303">
        <f>Справка!AP31+Справка!AS31+Справка!AM31</f>
        <v>1855.1000000000001</v>
      </c>
      <c r="J15" s="303">
        <f>Справка!AQ31+Справка!AT31+Справка!AN31</f>
        <v>316.84322999999995</v>
      </c>
      <c r="K15" s="304">
        <f>J15/I15*100</f>
        <v>17.079576842218742</v>
      </c>
    </row>
    <row r="16" spans="1:15" ht="33" customHeight="1">
      <c r="A16" s="81" t="s">
        <v>194</v>
      </c>
      <c r="B16" s="77">
        <v>11200</v>
      </c>
      <c r="C16" s="303">
        <f t="shared" si="6"/>
        <v>600</v>
      </c>
      <c r="D16" s="303">
        <f t="shared" si="6"/>
        <v>255.98585</v>
      </c>
      <c r="E16" s="303">
        <f t="shared" si="5"/>
        <v>42.664308333333331</v>
      </c>
      <c r="F16" s="303">
        <f>район!C42</f>
        <v>600</v>
      </c>
      <c r="G16" s="303">
        <f>район!D42</f>
        <v>255.98585</v>
      </c>
      <c r="H16" s="303">
        <f t="shared" si="2"/>
        <v>42.664308333333331</v>
      </c>
      <c r="I16" s="303">
        <v>0</v>
      </c>
      <c r="J16" s="303">
        <v>0</v>
      </c>
      <c r="K16" s="304">
        <v>0</v>
      </c>
    </row>
    <row r="17" spans="1:13" ht="33" customHeight="1">
      <c r="A17" s="81" t="s">
        <v>195</v>
      </c>
      <c r="B17" s="77">
        <v>11300</v>
      </c>
      <c r="C17" s="303">
        <f t="shared" si="6"/>
        <v>230</v>
      </c>
      <c r="D17" s="303">
        <f t="shared" si="6"/>
        <v>305.48804999999999</v>
      </c>
      <c r="E17" s="303">
        <f>D17/C17*100</f>
        <v>132.82089130434781</v>
      </c>
      <c r="F17" s="303">
        <f>район!C44</f>
        <v>0</v>
      </c>
      <c r="G17" s="303">
        <f>район!D44</f>
        <v>1.2607900000000001</v>
      </c>
      <c r="H17" s="303" t="e">
        <f t="shared" si="2"/>
        <v>#DIV/0!</v>
      </c>
      <c r="I17" s="303">
        <f>Справка!AY31</f>
        <v>230</v>
      </c>
      <c r="J17" s="303">
        <f>Справка!AZ31</f>
        <v>304.22726</v>
      </c>
      <c r="K17" s="304">
        <f>J17/I17*100</f>
        <v>132.27272173913042</v>
      </c>
    </row>
    <row r="18" spans="1:13" ht="33" customHeight="1">
      <c r="A18" s="81" t="s">
        <v>196</v>
      </c>
      <c r="B18" s="77">
        <v>11400</v>
      </c>
      <c r="C18" s="303">
        <f t="shared" si="6"/>
        <v>10748.17628</v>
      </c>
      <c r="D18" s="303">
        <f t="shared" si="6"/>
        <v>362.50796000000003</v>
      </c>
      <c r="E18" s="303">
        <f t="shared" si="5"/>
        <v>3.3727392494906123</v>
      </c>
      <c r="F18" s="303">
        <f>район!C47</f>
        <v>10300</v>
      </c>
      <c r="G18" s="303">
        <f>район!D47</f>
        <v>356.10896000000002</v>
      </c>
      <c r="H18" s="303">
        <f t="shared" si="2"/>
        <v>3.4573685436893209</v>
      </c>
      <c r="I18" s="303">
        <f>Справка!BE31</f>
        <v>448.17627999999996</v>
      </c>
      <c r="J18" s="303">
        <f>Справка!BF31</f>
        <v>6.399</v>
      </c>
      <c r="K18" s="304">
        <f>J18/I18*100</f>
        <v>1.4277864058312055</v>
      </c>
    </row>
    <row r="19" spans="1:13" ht="23.25" customHeight="1">
      <c r="A19" s="81" t="s">
        <v>251</v>
      </c>
      <c r="B19" s="77">
        <v>11500</v>
      </c>
      <c r="C19" s="303">
        <f t="shared" si="6"/>
        <v>0</v>
      </c>
      <c r="D19" s="303">
        <f t="shared" si="6"/>
        <v>0</v>
      </c>
      <c r="E19" s="303"/>
      <c r="F19" s="303">
        <f>район!C50</f>
        <v>0</v>
      </c>
      <c r="G19" s="303">
        <f>район!D50</f>
        <v>0</v>
      </c>
      <c r="H19" s="303"/>
      <c r="I19" s="303"/>
      <c r="J19" s="303"/>
      <c r="K19" s="304"/>
    </row>
    <row r="20" spans="1:13" ht="22.5" customHeight="1">
      <c r="A20" s="81" t="s">
        <v>197</v>
      </c>
      <c r="B20" s="77">
        <v>11600</v>
      </c>
      <c r="C20" s="303">
        <f t="shared" si="6"/>
        <v>5600</v>
      </c>
      <c r="D20" s="303">
        <f t="shared" si="6"/>
        <v>1100.9953399999999</v>
      </c>
      <c r="E20" s="303">
        <f t="shared" si="5"/>
        <v>19.660631071428568</v>
      </c>
      <c r="F20" s="303">
        <f>район!C52</f>
        <v>5600</v>
      </c>
      <c r="G20" s="303">
        <f>район!D52</f>
        <v>1044.6017899999999</v>
      </c>
      <c r="H20" s="303">
        <f t="shared" si="2"/>
        <v>18.653603392857139</v>
      </c>
      <c r="I20" s="303">
        <f>Справка!BN31</f>
        <v>0</v>
      </c>
      <c r="J20" s="303">
        <f>Справка!BO31</f>
        <v>56.393550000000005</v>
      </c>
      <c r="K20" s="304">
        <v>0</v>
      </c>
    </row>
    <row r="21" spans="1:13" ht="31.5" customHeight="1">
      <c r="A21" s="81" t="s">
        <v>198</v>
      </c>
      <c r="B21" s="77">
        <v>11700</v>
      </c>
      <c r="C21" s="303">
        <f t="shared" si="6"/>
        <v>0</v>
      </c>
      <c r="D21" s="303">
        <f t="shared" si="6"/>
        <v>-4.6500000000000004</v>
      </c>
      <c r="E21" s="303"/>
      <c r="F21" s="303">
        <f>район!C69</f>
        <v>0</v>
      </c>
      <c r="G21" s="303">
        <f>район!D69</f>
        <v>0</v>
      </c>
      <c r="H21" s="303"/>
      <c r="I21" s="303">
        <f>Справка!BQ31</f>
        <v>0</v>
      </c>
      <c r="J21" s="303">
        <f>Справка!BR31</f>
        <v>-4.6500000000000004</v>
      </c>
      <c r="K21" s="304">
        <v>0</v>
      </c>
    </row>
    <row r="22" spans="1:13" ht="45.75" hidden="1" customHeight="1">
      <c r="A22" s="79" t="s">
        <v>199</v>
      </c>
      <c r="B22" s="76">
        <v>30000</v>
      </c>
      <c r="C22" s="302">
        <f t="shared" si="6"/>
        <v>0</v>
      </c>
      <c r="D22" s="302">
        <f t="shared" si="6"/>
        <v>0</v>
      </c>
      <c r="E22" s="302"/>
      <c r="F22" s="302">
        <v>0</v>
      </c>
      <c r="G22" s="302">
        <v>0</v>
      </c>
      <c r="H22" s="302"/>
      <c r="I22" s="302">
        <v>0</v>
      </c>
      <c r="J22" s="302">
        <v>0</v>
      </c>
      <c r="K22" s="302"/>
    </row>
    <row r="23" spans="1:13" ht="36.75" customHeight="1">
      <c r="A23" s="79" t="s">
        <v>19</v>
      </c>
      <c r="B23" s="76">
        <v>10000</v>
      </c>
      <c r="C23" s="305">
        <f>SUM(C4,C14,C22,)</f>
        <v>200460.25857000001</v>
      </c>
      <c r="D23" s="305">
        <f>SUM(D4,D14,)</f>
        <v>41167.494720000002</v>
      </c>
      <c r="E23" s="302">
        <f t="shared" si="5"/>
        <v>20.536486889556947</v>
      </c>
      <c r="F23" s="469">
        <f>SUM(F4,F14,)</f>
        <v>161088.99000000002</v>
      </c>
      <c r="G23" s="470">
        <f>SUM(G4,G14,G22)</f>
        <v>34577.719370000006</v>
      </c>
      <c r="H23" s="302">
        <f t="shared" si="2"/>
        <v>21.464979928175104</v>
      </c>
      <c r="I23" s="470">
        <f>I4+I14</f>
        <v>39371.268569999993</v>
      </c>
      <c r="J23" s="470">
        <f>J4+J14</f>
        <v>6589.7753500000008</v>
      </c>
      <c r="K23" s="302">
        <f>J23/I23*100</f>
        <v>16.73752355295267</v>
      </c>
    </row>
    <row r="24" spans="1:13" ht="33" customHeight="1">
      <c r="A24" s="79" t="s">
        <v>200</v>
      </c>
      <c r="B24" s="76">
        <v>20200</v>
      </c>
      <c r="C24" s="306">
        <v>598113.49531000003</v>
      </c>
      <c r="D24" s="306">
        <v>94322.961429999996</v>
      </c>
      <c r="E24" s="305">
        <f t="shared" si="5"/>
        <v>15.770077446775005</v>
      </c>
      <c r="F24" s="469">
        <f>район!C73</f>
        <v>593063.69530999998</v>
      </c>
      <c r="G24" s="305">
        <f>район!D73</f>
        <v>70421.387430000002</v>
      </c>
      <c r="H24" s="302">
        <f t="shared" si="2"/>
        <v>11.874169332383442</v>
      </c>
      <c r="I24" s="305">
        <f>Справка!BZ31</f>
        <v>96071.740120000002</v>
      </c>
      <c r="J24" s="305">
        <f>Справка!CA31</f>
        <v>12312.64588</v>
      </c>
      <c r="K24" s="302">
        <f t="shared" ref="K24:K38" si="7">J24/I24*100</f>
        <v>12.816095414344202</v>
      </c>
    </row>
    <row r="25" spans="1:13" ht="33" customHeight="1">
      <c r="A25" s="79" t="s">
        <v>303</v>
      </c>
      <c r="B25" s="76">
        <v>20700</v>
      </c>
      <c r="C25" s="307">
        <f>F25+I25</f>
        <v>3447.6282000000001</v>
      </c>
      <c r="D25" s="307">
        <f>G25+J25</f>
        <v>1324.2598800000001</v>
      </c>
      <c r="E25" s="305">
        <f t="shared" si="5"/>
        <v>38.4107509040563</v>
      </c>
      <c r="F25" s="305"/>
      <c r="G25" s="305"/>
      <c r="H25" s="302"/>
      <c r="I25" s="305">
        <f>Справка!CR31</f>
        <v>3447.6282000000001</v>
      </c>
      <c r="J25" s="305">
        <f>Справка!CS31</f>
        <v>1324.2598800000001</v>
      </c>
      <c r="K25" s="302">
        <f t="shared" si="7"/>
        <v>38.4107509040563</v>
      </c>
    </row>
    <row r="26" spans="1:13" ht="33" customHeight="1">
      <c r="A26" s="79" t="s">
        <v>263</v>
      </c>
      <c r="B26" s="77">
        <v>21900</v>
      </c>
      <c r="C26" s="307">
        <f>F26+I26</f>
        <v>-29040.5</v>
      </c>
      <c r="D26" s="307">
        <f>G26+J26</f>
        <v>-29040.5</v>
      </c>
      <c r="E26" s="305"/>
      <c r="F26" s="304">
        <f>район!C81</f>
        <v>-29040.5</v>
      </c>
      <c r="G26" s="304">
        <f>район!D81</f>
        <v>-29040.5</v>
      </c>
      <c r="H26" s="302"/>
      <c r="I26" s="304">
        <v>0</v>
      </c>
      <c r="J26" s="304">
        <v>0</v>
      </c>
      <c r="K26" s="304">
        <v>0</v>
      </c>
      <c r="L26" s="83"/>
    </row>
    <row r="27" spans="1:13" ht="29.25" customHeight="1">
      <c r="A27" s="76" t="s">
        <v>201</v>
      </c>
      <c r="B27" s="76"/>
      <c r="C27" s="309">
        <f>C24+C23+C26+C25</f>
        <v>772980.88208000001</v>
      </c>
      <c r="D27" s="309">
        <f>D24+D23+D26+D25</f>
        <v>107774.21602999998</v>
      </c>
      <c r="E27" s="309">
        <f t="shared" si="5"/>
        <v>13.942675495413589</v>
      </c>
      <c r="F27" s="309">
        <f>F24+F23</f>
        <v>754152.68530999997</v>
      </c>
      <c r="G27" s="309">
        <f>G24+G23</f>
        <v>104999.10680000001</v>
      </c>
      <c r="H27" s="309">
        <f t="shared" si="2"/>
        <v>13.922791610407032</v>
      </c>
      <c r="I27" s="309">
        <f>I24+I23</f>
        <v>135443.00868999999</v>
      </c>
      <c r="J27" s="309">
        <f>J24+J23</f>
        <v>18902.42123</v>
      </c>
      <c r="K27" s="308">
        <f t="shared" si="7"/>
        <v>13.955996262061475</v>
      </c>
      <c r="L27" s="95"/>
      <c r="M27" s="83"/>
    </row>
    <row r="28" spans="1:13" ht="29.25" customHeight="1">
      <c r="A28" s="76" t="s">
        <v>202</v>
      </c>
      <c r="B28" s="76"/>
      <c r="C28" s="309">
        <f>C29+C30+C31+C32+C33+C34+C35+C36+C37+C41+C38+C39+C40</f>
        <v>812475.53140999994</v>
      </c>
      <c r="D28" s="309">
        <f>SUM(D29:D41)</f>
        <v>138710.47562000001</v>
      </c>
      <c r="E28" s="309">
        <f t="shared" si="5"/>
        <v>17.072572681576855</v>
      </c>
      <c r="F28" s="462">
        <f>SUM(F29+F30+F31+F32+F33+F34+F35+F36+F37+F38+F39+F40+F41)</f>
        <v>786051.03687999991</v>
      </c>
      <c r="G28" s="463">
        <f>SUM(G29:G41)</f>
        <v>138149.32313000003</v>
      </c>
      <c r="H28" s="309">
        <f t="shared" si="2"/>
        <v>17.575108567802854</v>
      </c>
      <c r="I28" s="462">
        <f>I29+I30+I31+I32+I33+I34+I35+I36+I37+I38+I39+I40+I41</f>
        <v>143039.30645</v>
      </c>
      <c r="J28" s="463">
        <f>J29+J30+J31+J32+J33+J34+J35+J36+J37+J38+J39+J40+J41</f>
        <v>16688.464490000002</v>
      </c>
      <c r="K28" s="308">
        <f t="shared" si="7"/>
        <v>11.667047963374687</v>
      </c>
      <c r="L28" s="95"/>
    </row>
    <row r="29" spans="1:13" ht="30.75" customHeight="1">
      <c r="A29" s="81" t="s">
        <v>203</v>
      </c>
      <c r="B29" s="82" t="s">
        <v>30</v>
      </c>
      <c r="C29" s="461">
        <f>F29+I29</f>
        <v>66044.251950000005</v>
      </c>
      <c r="D29" s="461">
        <f>G29+J29</f>
        <v>13864.899570000001</v>
      </c>
      <c r="E29" s="311">
        <f t="shared" si="5"/>
        <v>20.993347885137187</v>
      </c>
      <c r="F29" s="303">
        <f>район!C88</f>
        <v>44104.93995</v>
      </c>
      <c r="G29" s="311">
        <f>район!D88</f>
        <v>9564.9598900000001</v>
      </c>
      <c r="H29" s="312">
        <f t="shared" si="2"/>
        <v>21.686822158341926</v>
      </c>
      <c r="I29" s="312">
        <f>Справка!DJ31</f>
        <v>21939.311999999998</v>
      </c>
      <c r="J29" s="312">
        <f>Справка!DK31</f>
        <v>4299.9396800000004</v>
      </c>
      <c r="K29" s="312">
        <f t="shared" si="7"/>
        <v>19.599245773978698</v>
      </c>
    </row>
    <row r="30" spans="1:13" ht="30.75" customHeight="1">
      <c r="A30" s="81" t="s">
        <v>204</v>
      </c>
      <c r="B30" s="82" t="s">
        <v>46</v>
      </c>
      <c r="C30" s="307">
        <f>I30</f>
        <v>2158.6999999999998</v>
      </c>
      <c r="D30" s="307">
        <f>J30</f>
        <v>406.63159999999999</v>
      </c>
      <c r="E30" s="311">
        <f t="shared" si="5"/>
        <v>18.83687404456386</v>
      </c>
      <c r="F30" s="303">
        <f>район!C96</f>
        <v>2158.6999999999998</v>
      </c>
      <c r="G30" s="311">
        <f>район!D96</f>
        <v>534</v>
      </c>
      <c r="H30" s="312">
        <f t="shared" si="2"/>
        <v>24.737110297864458</v>
      </c>
      <c r="I30" s="312">
        <f>Справка!DY31</f>
        <v>2158.6999999999998</v>
      </c>
      <c r="J30" s="312">
        <f>Справка!DZ31</f>
        <v>406.63159999999999</v>
      </c>
      <c r="K30" s="312">
        <f t="shared" si="7"/>
        <v>18.83687404456386</v>
      </c>
    </row>
    <row r="31" spans="1:13" ht="33" customHeight="1">
      <c r="A31" s="81" t="s">
        <v>205</v>
      </c>
      <c r="B31" s="82" t="s">
        <v>50</v>
      </c>
      <c r="C31" s="461">
        <f>F31+I31</f>
        <v>12057.38</v>
      </c>
      <c r="D31" s="461">
        <f>G31+J31</f>
        <v>882.66478000000006</v>
      </c>
      <c r="E31" s="311">
        <f t="shared" si="5"/>
        <v>7.3205354728805112</v>
      </c>
      <c r="F31" s="303">
        <f>район!C98</f>
        <v>11876.5</v>
      </c>
      <c r="G31" s="311">
        <f>район!D98</f>
        <v>837.91435000000001</v>
      </c>
      <c r="H31" s="312">
        <f t="shared" si="2"/>
        <v>7.0552296552014493</v>
      </c>
      <c r="I31" s="312">
        <f>Справка!EB31</f>
        <v>180.88000000000002</v>
      </c>
      <c r="J31" s="312">
        <f>Справка!EC31</f>
        <v>44.750429999999994</v>
      </c>
      <c r="K31" s="312">
        <f t="shared" si="7"/>
        <v>24.740396948252979</v>
      </c>
    </row>
    <row r="32" spans="1:13" ht="30" customHeight="1">
      <c r="A32" s="81" t="s">
        <v>206</v>
      </c>
      <c r="B32" s="82" t="s">
        <v>58</v>
      </c>
      <c r="C32" s="310">
        <v>219608.45301</v>
      </c>
      <c r="D32" s="310">
        <v>11919.658789999999</v>
      </c>
      <c r="E32" s="311">
        <f t="shared" si="5"/>
        <v>5.4276866972225477</v>
      </c>
      <c r="F32" s="303">
        <f>район!C104</f>
        <v>196807.40899999999</v>
      </c>
      <c r="G32" s="311">
        <f>район!D104</f>
        <v>10829.950430000001</v>
      </c>
      <c r="H32" s="312">
        <f t="shared" si="2"/>
        <v>5.5028164259811998</v>
      </c>
      <c r="I32" s="312">
        <f>Справка!EE31</f>
        <v>59616.744009999988</v>
      </c>
      <c r="J32" s="312">
        <f>Справка!EF31</f>
        <v>4133.2453600000008</v>
      </c>
      <c r="K32" s="312">
        <f t="shared" si="7"/>
        <v>6.9330276730757037</v>
      </c>
    </row>
    <row r="33" spans="1:12" ht="30" customHeight="1">
      <c r="A33" s="81" t="s">
        <v>207</v>
      </c>
      <c r="B33" s="82" t="s">
        <v>68</v>
      </c>
      <c r="C33" s="310">
        <v>25335.451799999999</v>
      </c>
      <c r="D33" s="310">
        <v>2068.3483700000002</v>
      </c>
      <c r="E33" s="311">
        <f t="shared" si="5"/>
        <v>8.1638503482302234</v>
      </c>
      <c r="F33" s="303">
        <f>район!C110</f>
        <v>13271.258280000002</v>
      </c>
      <c r="G33" s="311">
        <f>район!D110</f>
        <v>322.49274000000003</v>
      </c>
      <c r="H33" s="312">
        <f t="shared" si="2"/>
        <v>2.4300087692965917</v>
      </c>
      <c r="I33" s="312">
        <f>Справка!EH31</f>
        <v>20854.551800000001</v>
      </c>
      <c r="J33" s="312">
        <f>Справка!EI31</f>
        <v>1745.8556299999996</v>
      </c>
      <c r="K33" s="312">
        <f t="shared" si="7"/>
        <v>8.3715806829279327</v>
      </c>
    </row>
    <row r="34" spans="1:12" ht="30" customHeight="1">
      <c r="A34" s="81" t="s">
        <v>208</v>
      </c>
      <c r="B34" s="82" t="s">
        <v>76</v>
      </c>
      <c r="C34" s="307">
        <f>F34</f>
        <v>32</v>
      </c>
      <c r="D34" s="307">
        <f>G34</f>
        <v>0</v>
      </c>
      <c r="E34" s="311">
        <f t="shared" si="5"/>
        <v>0</v>
      </c>
      <c r="F34" s="303">
        <f>район!C114</f>
        <v>32</v>
      </c>
      <c r="G34" s="311">
        <f>район!D114</f>
        <v>0</v>
      </c>
      <c r="H34" s="312">
        <f t="shared" si="2"/>
        <v>0</v>
      </c>
      <c r="I34" s="311"/>
      <c r="J34" s="311"/>
      <c r="K34" s="312">
        <v>0</v>
      </c>
    </row>
    <row r="35" spans="1:12" ht="30" customHeight="1">
      <c r="A35" s="81" t="s">
        <v>209</v>
      </c>
      <c r="B35" s="82" t="s">
        <v>80</v>
      </c>
      <c r="C35" s="307">
        <f>F35</f>
        <v>375125.35746999999</v>
      </c>
      <c r="D35" s="307">
        <f>G35</f>
        <v>95725.575310000015</v>
      </c>
      <c r="E35" s="311">
        <f t="shared" si="5"/>
        <v>25.51828966071842</v>
      </c>
      <c r="F35" s="303">
        <f>район!C116</f>
        <v>375125.35746999999</v>
      </c>
      <c r="G35" s="311">
        <f>район!D116</f>
        <v>95725.575310000015</v>
      </c>
      <c r="H35" s="312">
        <f t="shared" si="2"/>
        <v>25.51828966071842</v>
      </c>
      <c r="I35" s="311"/>
      <c r="J35" s="311"/>
      <c r="K35" s="312">
        <v>0</v>
      </c>
    </row>
    <row r="36" spans="1:12" ht="30" customHeight="1">
      <c r="A36" s="81" t="s">
        <v>210</v>
      </c>
      <c r="B36" s="82" t="s">
        <v>86</v>
      </c>
      <c r="C36" s="310">
        <v>62617.364909999997</v>
      </c>
      <c r="D36" s="310">
        <v>10425.782740000001</v>
      </c>
      <c r="E36" s="311">
        <f t="shared" si="5"/>
        <v>16.649986397519264</v>
      </c>
      <c r="F36" s="303">
        <f>район!C122</f>
        <v>53473.459340000001</v>
      </c>
      <c r="G36" s="311">
        <f>район!D122</f>
        <v>9559.5329500000007</v>
      </c>
      <c r="H36" s="312">
        <f t="shared" si="2"/>
        <v>17.877154513639514</v>
      </c>
      <c r="I36" s="312">
        <f>Справка!EK31</f>
        <v>38112.206640000004</v>
      </c>
      <c r="J36" s="312">
        <f>Справка!EL31</f>
        <v>6005.1757899999993</v>
      </c>
      <c r="K36" s="312">
        <f t="shared" si="7"/>
        <v>15.756568090437911</v>
      </c>
      <c r="L36" s="83"/>
    </row>
    <row r="37" spans="1:12" ht="30" customHeight="1">
      <c r="A37" s="81" t="s">
        <v>211</v>
      </c>
      <c r="B37" s="82" t="s">
        <v>212</v>
      </c>
      <c r="C37" s="310">
        <f>F37+I37</f>
        <v>43937.620269999999</v>
      </c>
      <c r="D37" s="310">
        <v>1553.97371</v>
      </c>
      <c r="E37" s="311">
        <f t="shared" si="5"/>
        <v>3.5367725890722213</v>
      </c>
      <c r="F37" s="303">
        <f>район!C125</f>
        <v>43937.620269999999</v>
      </c>
      <c r="G37" s="311">
        <f>район!D125</f>
        <v>1553.9737099999998</v>
      </c>
      <c r="H37" s="312">
        <f t="shared" si="2"/>
        <v>3.5367725890722208</v>
      </c>
      <c r="I37" s="312">
        <f>Справка!EN31</f>
        <v>0</v>
      </c>
      <c r="J37" s="312">
        <f>Справка!EO31</f>
        <v>0</v>
      </c>
      <c r="K37" s="312"/>
    </row>
    <row r="38" spans="1:12" ht="30" customHeight="1">
      <c r="A38" s="81" t="s">
        <v>213</v>
      </c>
      <c r="B38" s="82" t="s">
        <v>95</v>
      </c>
      <c r="C38" s="310">
        <f>F38+I38</f>
        <v>5513.8119999999999</v>
      </c>
      <c r="D38" s="310">
        <v>1862.94075</v>
      </c>
      <c r="E38" s="311">
        <f t="shared" si="5"/>
        <v>33.786802125281021</v>
      </c>
      <c r="F38" s="303">
        <f>район!C130</f>
        <v>5336.9</v>
      </c>
      <c r="G38" s="311">
        <f>район!D130</f>
        <v>1810.07475</v>
      </c>
      <c r="H38" s="312">
        <f t="shared" si="2"/>
        <v>33.916220090314603</v>
      </c>
      <c r="I38" s="312">
        <f>Справка!EQ31</f>
        <v>176.91200000000001</v>
      </c>
      <c r="J38" s="312">
        <f>Справка!ER31</f>
        <v>52.866</v>
      </c>
      <c r="K38" s="312">
        <f t="shared" si="7"/>
        <v>29.882653522655328</v>
      </c>
    </row>
    <row r="39" spans="1:12" ht="30" customHeight="1">
      <c r="A39" s="81" t="s">
        <v>214</v>
      </c>
      <c r="B39" s="82" t="s">
        <v>107</v>
      </c>
      <c r="C39" s="303">
        <f>F39</f>
        <v>45.14</v>
      </c>
      <c r="D39" s="313">
        <f>G39</f>
        <v>0</v>
      </c>
      <c r="E39" s="311">
        <f t="shared" si="5"/>
        <v>0</v>
      </c>
      <c r="F39" s="303">
        <f>район!C136</f>
        <v>45.14</v>
      </c>
      <c r="G39" s="311">
        <f>район!D136</f>
        <v>0</v>
      </c>
      <c r="H39" s="312">
        <f t="shared" si="2"/>
        <v>0</v>
      </c>
      <c r="I39" s="312"/>
      <c r="J39" s="312"/>
      <c r="K39" s="312">
        <v>0</v>
      </c>
    </row>
    <row r="40" spans="1:12" ht="34.5" customHeight="1">
      <c r="A40" s="81" t="s">
        <v>215</v>
      </c>
      <c r="B40" s="82" t="s">
        <v>111</v>
      </c>
      <c r="C40" s="303">
        <f>F40</f>
        <v>0</v>
      </c>
      <c r="D40" s="313">
        <f>G40</f>
        <v>0</v>
      </c>
      <c r="E40" s="311"/>
      <c r="F40" s="303">
        <f>район!C138</f>
        <v>0</v>
      </c>
      <c r="G40" s="311">
        <f>район!D138</f>
        <v>0</v>
      </c>
      <c r="H40" s="312">
        <v>0</v>
      </c>
      <c r="I40" s="312"/>
      <c r="J40" s="314"/>
      <c r="K40" s="312">
        <v>0</v>
      </c>
    </row>
    <row r="41" spans="1:12" ht="30" customHeight="1">
      <c r="A41" s="81" t="s">
        <v>216</v>
      </c>
      <c r="B41" s="82" t="s">
        <v>217</v>
      </c>
      <c r="C41" s="303">
        <v>0</v>
      </c>
      <c r="D41" s="313"/>
      <c r="E41" s="311">
        <v>0</v>
      </c>
      <c r="F41" s="303">
        <f>район!C140</f>
        <v>39881.752569999997</v>
      </c>
      <c r="G41" s="311">
        <f>район!D140</f>
        <v>7410.8490000000002</v>
      </c>
      <c r="H41" s="312">
        <f t="shared" si="2"/>
        <v>18.582054504732614</v>
      </c>
      <c r="I41" s="312">
        <f>Справка!ET31</f>
        <v>0</v>
      </c>
      <c r="J41" s="314">
        <f>Справка!EU31</f>
        <v>0</v>
      </c>
      <c r="K41" s="312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-39494.649329999927</v>
      </c>
      <c r="D43" s="139">
        <f>D27-D28</f>
        <v>-30936.259590000031</v>
      </c>
      <c r="E43" s="139"/>
      <c r="F43" s="139">
        <f>F27-F28</f>
        <v>-31898.351569999941</v>
      </c>
      <c r="G43" s="139">
        <f>G27-G28</f>
        <v>-33150.216330000025</v>
      </c>
      <c r="H43" s="139"/>
      <c r="I43" s="139">
        <f>I27-I28</f>
        <v>-7596.2977600000158</v>
      </c>
      <c r="J43" s="139">
        <f>J27-J28</f>
        <v>2213.9567399999978</v>
      </c>
      <c r="K43" s="139"/>
    </row>
    <row r="44" spans="1:12" hidden="1">
      <c r="A44" s="140"/>
      <c r="B44" s="141"/>
      <c r="C44" s="139">
        <f>C43-F44</f>
        <v>0</v>
      </c>
      <c r="D44" s="139">
        <f>D43-G44</f>
        <v>0</v>
      </c>
      <c r="E44" s="139"/>
      <c r="F44" s="139">
        <f>F43+I43</f>
        <v>-39494.649329999957</v>
      </c>
      <c r="G44" s="139">
        <f>G43+J43</f>
        <v>-30936.259590000027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601561.12351000006</v>
      </c>
      <c r="G45" s="143">
        <f>D28+G44-D23-D26</f>
        <v>95647.221309999979</v>
      </c>
      <c r="H45" s="137"/>
      <c r="I45" s="137"/>
      <c r="J45" s="137"/>
      <c r="K45" s="139"/>
    </row>
    <row r="46" spans="1:12">
      <c r="A46" s="140"/>
      <c r="B46" s="141"/>
      <c r="C46" s="322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90"/>
      <c r="E50" s="490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  <row r="82" hidden="1"/>
    <row r="83" hidden="1"/>
    <row r="84" hidden="1"/>
  </sheetData>
  <customSheetViews>
    <customSheetView guid="{35821C05-60FE-4C33-8558-8CF10812F6FC}" scale="80" showPageBreaks="1" printArea="1" hiddenRows="1" view="pageBreakPreview">
      <selection activeCell="D24" sqref="D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B31C8DB7-3E78-4144-A6B5-8DE36DE63F0E}" scale="80" showPageBreaks="1" printArea="1" hiddenRows="1" view="pageBreakPreview" topLeftCell="A17">
      <selection activeCell="G27" sqref="G2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61528DAC-5C4C-48F4-ADE2-8A724B05A086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B30CE22D-C12F-4E12-8BB9-3AAE0A6991CC}" scale="80" showPageBreaks="1" printArea="1" hiddenRows="1" view="pageBreakPreview">
      <selection activeCell="D28" sqref="D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6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5BFCA170-DEAE-4D2C-98A0-1E68B427AC01}" scale="80" showPageBreaks="1" printArea="1" hiddenRows="1" view="pageBreakPreview">
      <selection activeCell="D24" sqref="D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11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3"/>
  <sheetViews>
    <sheetView topLeftCell="A51" zoomScaleNormal="100" zoomScaleSheetLayoutView="70" workbookViewId="0">
      <selection activeCell="D98" sqref="D9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425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6.75" customHeight="1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2594.6179999999999</v>
      </c>
      <c r="D4" s="5">
        <f>D5+D12+D14+D17+D7</f>
        <v>233.98403999999999</v>
      </c>
      <c r="E4" s="5">
        <f>SUM(D4/C4*100)</f>
        <v>9.0180535246421627</v>
      </c>
      <c r="F4" s="5">
        <f>SUM(D4-C4)</f>
        <v>-2360.6339600000001</v>
      </c>
    </row>
    <row r="5" spans="1:6" s="6" customFormat="1">
      <c r="A5" s="68">
        <v>1010000000</v>
      </c>
      <c r="B5" s="67" t="s">
        <v>6</v>
      </c>
      <c r="C5" s="5">
        <f>C6</f>
        <v>244.083</v>
      </c>
      <c r="D5" s="5">
        <f>D6</f>
        <v>45.724499999999999</v>
      </c>
      <c r="E5" s="5">
        <f t="shared" ref="E5:E51" si="0">SUM(D5/C5*100)</f>
        <v>18.733176829193347</v>
      </c>
      <c r="F5" s="5">
        <f t="shared" ref="F5:F51" si="1">SUM(D5-C5)</f>
        <v>-198.35849999999999</v>
      </c>
    </row>
    <row r="6" spans="1:6">
      <c r="A6" s="7">
        <v>1010200001</v>
      </c>
      <c r="B6" s="8" t="s">
        <v>229</v>
      </c>
      <c r="C6" s="9">
        <v>244.083</v>
      </c>
      <c r="D6" s="10">
        <v>45.724499999999999</v>
      </c>
      <c r="E6" s="9">
        <f t="shared" ref="E6:E11" si="2">SUM(D6/C6*100)</f>
        <v>18.733176829193347</v>
      </c>
      <c r="F6" s="9">
        <f t="shared" si="1"/>
        <v>-198.35849999999999</v>
      </c>
    </row>
    <row r="7" spans="1:6" ht="31.5">
      <c r="A7" s="3">
        <v>1030000000</v>
      </c>
      <c r="B7" s="13" t="s">
        <v>281</v>
      </c>
      <c r="C7" s="5">
        <f>C8+C10+C9</f>
        <v>424.53500000000003</v>
      </c>
      <c r="D7" s="5">
        <f>D8+D9+D10+D11</f>
        <v>124.58605</v>
      </c>
      <c r="E7" s="9">
        <f t="shared" si="2"/>
        <v>29.346473200089505</v>
      </c>
      <c r="F7" s="9">
        <f t="shared" si="1"/>
        <v>-299.94895000000002</v>
      </c>
    </row>
    <row r="8" spans="1:6">
      <c r="A8" s="7">
        <v>1030223001</v>
      </c>
      <c r="B8" s="8" t="s">
        <v>283</v>
      </c>
      <c r="C8" s="9">
        <v>158.35</v>
      </c>
      <c r="D8" s="10">
        <v>54.729759999999999</v>
      </c>
      <c r="E8" s="9">
        <f t="shared" si="2"/>
        <v>34.562526049889485</v>
      </c>
      <c r="F8" s="9">
        <f t="shared" si="1"/>
        <v>-103.62024</v>
      </c>
    </row>
    <row r="9" spans="1:6">
      <c r="A9" s="7">
        <v>1030224001</v>
      </c>
      <c r="B9" s="8" t="s">
        <v>289</v>
      </c>
      <c r="C9" s="9">
        <v>1.6950000000000001</v>
      </c>
      <c r="D9" s="10">
        <v>0.38240000000000002</v>
      </c>
      <c r="E9" s="9">
        <f t="shared" si="2"/>
        <v>22.560471976401182</v>
      </c>
      <c r="F9" s="9">
        <f t="shared" si="1"/>
        <v>-1.3126</v>
      </c>
    </row>
    <row r="10" spans="1:6">
      <c r="A10" s="7">
        <v>1030225001</v>
      </c>
      <c r="B10" s="8" t="s">
        <v>282</v>
      </c>
      <c r="C10" s="9">
        <v>264.49</v>
      </c>
      <c r="D10" s="10">
        <v>80.24512</v>
      </c>
      <c r="E10" s="9">
        <f t="shared" si="2"/>
        <v>30.339566713297287</v>
      </c>
      <c r="F10" s="9">
        <f t="shared" si="1"/>
        <v>-184.24488000000002</v>
      </c>
    </row>
    <row r="11" spans="1:6">
      <c r="A11" s="7">
        <v>1030265001</v>
      </c>
      <c r="B11" s="8" t="s">
        <v>291</v>
      </c>
      <c r="C11" s="9">
        <v>0</v>
      </c>
      <c r="D11" s="10">
        <v>-10.771229999999999</v>
      </c>
      <c r="E11" s="9" t="e">
        <f t="shared" si="2"/>
        <v>#DIV/0!</v>
      </c>
      <c r="F11" s="9">
        <f t="shared" si="1"/>
        <v>-10.771229999999999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1.026</v>
      </c>
      <c r="E12" s="5">
        <f t="shared" si="0"/>
        <v>2.5649999999999999</v>
      </c>
      <c r="F12" s="5">
        <f t="shared" si="1"/>
        <v>-38.973999999999997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1.026</v>
      </c>
      <c r="E13" s="9">
        <f t="shared" si="0"/>
        <v>2.5649999999999999</v>
      </c>
      <c r="F13" s="9">
        <f t="shared" si="1"/>
        <v>-38.973999999999997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1876</v>
      </c>
      <c r="D14" s="5">
        <f>D15+D16</f>
        <v>62.147489999999998</v>
      </c>
      <c r="E14" s="5">
        <f t="shared" si="0"/>
        <v>3.3127659914712151</v>
      </c>
      <c r="F14" s="5">
        <f t="shared" si="1"/>
        <v>-1813.8525099999999</v>
      </c>
    </row>
    <row r="15" spans="1:6" s="6" customFormat="1" ht="15.75" customHeight="1">
      <c r="A15" s="7">
        <v>1060100000</v>
      </c>
      <c r="B15" s="11" t="s">
        <v>9</v>
      </c>
      <c r="C15" s="9">
        <v>326</v>
      </c>
      <c r="D15" s="10">
        <v>0.98126000000000002</v>
      </c>
      <c r="E15" s="9">
        <f t="shared" si="0"/>
        <v>0.30099999999999999</v>
      </c>
      <c r="F15" s="9">
        <f>SUM(D15-C15)</f>
        <v>-325.01873999999998</v>
      </c>
    </row>
    <row r="16" spans="1:6" ht="15.75" customHeight="1">
      <c r="A16" s="7">
        <v>1060600000</v>
      </c>
      <c r="B16" s="11" t="s">
        <v>8</v>
      </c>
      <c r="C16" s="9">
        <v>1550</v>
      </c>
      <c r="D16" s="10">
        <v>61.166229999999999</v>
      </c>
      <c r="E16" s="9">
        <f t="shared" si="0"/>
        <v>3.9462083870967746</v>
      </c>
      <c r="F16" s="9">
        <f t="shared" si="1"/>
        <v>-1488.83377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0.5</v>
      </c>
      <c r="E17" s="5">
        <f t="shared" si="0"/>
        <v>5</v>
      </c>
      <c r="F17" s="5">
        <f t="shared" si="1"/>
        <v>-9.5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0.5</v>
      </c>
      <c r="E18" s="9">
        <f t="shared" si="0"/>
        <v>5</v>
      </c>
      <c r="F18" s="9">
        <f t="shared" si="1"/>
        <v>-9.5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80</v>
      </c>
      <c r="D25" s="5">
        <f>D26+D29+D31+D36+D34</f>
        <v>20.231909999999999</v>
      </c>
      <c r="E25" s="5">
        <f t="shared" si="0"/>
        <v>25.289887499999995</v>
      </c>
      <c r="F25" s="5">
        <f t="shared" si="1"/>
        <v>-59.768090000000001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80</v>
      </c>
      <c r="D26" s="5">
        <f>D27+D28</f>
        <v>13.65</v>
      </c>
      <c r="E26" s="5">
        <f t="shared" si="0"/>
        <v>17.0625</v>
      </c>
      <c r="F26" s="5">
        <f t="shared" si="1"/>
        <v>-66.349999999999994</v>
      </c>
    </row>
    <row r="27" spans="1:6" ht="15.75" customHeight="1">
      <c r="A27" s="16">
        <v>1110502510</v>
      </c>
      <c r="B27" s="17" t="s">
        <v>226</v>
      </c>
      <c r="C27" s="12">
        <v>50</v>
      </c>
      <c r="D27" s="12">
        <v>4.6500000000000004</v>
      </c>
      <c r="E27" s="9">
        <f t="shared" si="0"/>
        <v>9.3000000000000007</v>
      </c>
      <c r="F27" s="9">
        <f t="shared" si="1"/>
        <v>-45.35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9</v>
      </c>
      <c r="E28" s="9">
        <f t="shared" si="0"/>
        <v>30</v>
      </c>
      <c r="F28" s="9">
        <f t="shared" si="1"/>
        <v>-21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0</v>
      </c>
      <c r="D29" s="5">
        <f>D30</f>
        <v>11.231909999999999</v>
      </c>
      <c r="E29" s="5" t="e">
        <f t="shared" si="0"/>
        <v>#DIV/0!</v>
      </c>
      <c r="F29" s="5">
        <f t="shared" si="1"/>
        <v>11.231909999999999</v>
      </c>
    </row>
    <row r="30" spans="1:6" ht="15.75" customHeight="1">
      <c r="A30" s="7">
        <v>1130206005</v>
      </c>
      <c r="B30" s="8" t="s">
        <v>224</v>
      </c>
      <c r="C30" s="9">
        <v>0</v>
      </c>
      <c r="D30" s="10">
        <v>11.231909999999999</v>
      </c>
      <c r="E30" s="9" t="e">
        <f t="shared" si="0"/>
        <v>#DIV/0!</v>
      </c>
      <c r="F30" s="9">
        <f t="shared" si="1"/>
        <v>11.231909999999999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436">
        <f>SUM(C4,C25)</f>
        <v>2674.6179999999999</v>
      </c>
      <c r="D39" s="436">
        <f>SUM(D4,D25)</f>
        <v>254.21594999999999</v>
      </c>
      <c r="E39" s="5">
        <f t="shared" si="0"/>
        <v>9.5047573148763682</v>
      </c>
      <c r="F39" s="5">
        <f t="shared" si="1"/>
        <v>-2420.4020500000001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2969.9829999999997</v>
      </c>
      <c r="D40" s="389">
        <f>D41+D43+D45+D46+D48+D49+D42+D47</f>
        <v>621.31500000000005</v>
      </c>
      <c r="E40" s="5">
        <f t="shared" si="0"/>
        <v>20.919816712755598</v>
      </c>
      <c r="F40" s="5">
        <f t="shared" si="1"/>
        <v>-2348.6679999999997</v>
      </c>
      <c r="G40" s="19"/>
    </row>
    <row r="41" spans="1:7">
      <c r="A41" s="16">
        <v>2021000000</v>
      </c>
      <c r="B41" s="17" t="s">
        <v>21</v>
      </c>
      <c r="C41" s="99">
        <v>1462.5</v>
      </c>
      <c r="D41" s="20">
        <v>365.625</v>
      </c>
      <c r="E41" s="9">
        <f t="shared" si="0"/>
        <v>25</v>
      </c>
      <c r="F41" s="9">
        <f t="shared" si="1"/>
        <v>-1096.875</v>
      </c>
    </row>
    <row r="42" spans="1:7" ht="17.25" customHeight="1">
      <c r="A42" s="16">
        <v>2021500200</v>
      </c>
      <c r="B42" s="17" t="s">
        <v>232</v>
      </c>
      <c r="C42" s="12">
        <v>200</v>
      </c>
      <c r="D42" s="20">
        <v>0</v>
      </c>
      <c r="E42" s="9">
        <f>SUM(D42/C42*100)</f>
        <v>0</v>
      </c>
      <c r="F42" s="9">
        <f>SUM(D42-C42)</f>
        <v>-200</v>
      </c>
    </row>
    <row r="43" spans="1:7" ht="19.5" customHeight="1">
      <c r="A43" s="16">
        <v>2022000000</v>
      </c>
      <c r="B43" s="17" t="s">
        <v>22</v>
      </c>
      <c r="C43" s="12">
        <v>1125.08</v>
      </c>
      <c r="D43" s="10">
        <v>211.191</v>
      </c>
      <c r="E43" s="9">
        <f t="shared" si="0"/>
        <v>18.77119849255164</v>
      </c>
      <c r="F43" s="9">
        <f t="shared" si="1"/>
        <v>-913.8889999999999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182.40299999999999</v>
      </c>
      <c r="D45" s="250">
        <v>44.499000000000002</v>
      </c>
      <c r="E45" s="9">
        <f t="shared" si="0"/>
        <v>24.395980329270902</v>
      </c>
      <c r="F45" s="9">
        <f t="shared" si="1"/>
        <v>-137.904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25</v>
      </c>
      <c r="C48" s="12"/>
      <c r="D48" s="251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384">
        <f>C39+C40</f>
        <v>5644.6009999999997</v>
      </c>
      <c r="D51" s="385">
        <f>D39+D40</f>
        <v>875.53095000000008</v>
      </c>
      <c r="E51" s="5">
        <f t="shared" si="0"/>
        <v>15.510944883438176</v>
      </c>
      <c r="F51" s="5">
        <f t="shared" si="1"/>
        <v>-4769.0700499999994</v>
      </c>
      <c r="G51" s="292"/>
    </row>
    <row r="52" spans="1:7" s="6" customFormat="1">
      <c r="A52" s="3"/>
      <c r="B52" s="21" t="s">
        <v>321</v>
      </c>
      <c r="C52" s="93">
        <f>C51-C99</f>
        <v>-359.81648000000041</v>
      </c>
      <c r="D52" s="93">
        <f>D51-D99</f>
        <v>-86.356089999999995</v>
      </c>
      <c r="E52" s="22"/>
      <c r="F52" s="22"/>
    </row>
    <row r="53" spans="1:7" ht="23.25" customHeight="1">
      <c r="A53" s="23"/>
      <c r="B53" s="24"/>
      <c r="C53" s="241"/>
      <c r="D53" s="241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412</v>
      </c>
      <c r="D54" s="103" t="s">
        <v>419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1204.2350000000001</v>
      </c>
      <c r="D56" s="33">
        <f>D57+D58+D59+D60+D61+D63+D62</f>
        <v>237.77133000000001</v>
      </c>
      <c r="E56" s="34">
        <f>SUM(D56/C56*100)</f>
        <v>19.74459553160305</v>
      </c>
      <c r="F56" s="34">
        <f>SUM(D56-C56)</f>
        <v>-966.46367000000009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1195.0350000000001</v>
      </c>
      <c r="D58" s="37">
        <v>233.73683</v>
      </c>
      <c r="E58" s="38">
        <f t="shared" ref="E58:E99" si="3">SUM(D58/C58*100)</f>
        <v>19.558994506437049</v>
      </c>
      <c r="F58" s="38">
        <f t="shared" ref="F58:F99" si="4">SUM(D58-C58)</f>
        <v>-961.29817000000003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4.2</v>
      </c>
      <c r="D63" s="37">
        <v>4.0345000000000004</v>
      </c>
      <c r="E63" s="38">
        <f t="shared" si="3"/>
        <v>96.05952380952381</v>
      </c>
      <c r="F63" s="38">
        <f t="shared" si="4"/>
        <v>-0.16549999999999976</v>
      </c>
    </row>
    <row r="64" spans="1:7" s="6" customFormat="1">
      <c r="A64" s="41" t="s">
        <v>46</v>
      </c>
      <c r="B64" s="42" t="s">
        <v>47</v>
      </c>
      <c r="C64" s="32">
        <f>C65</f>
        <v>179.892</v>
      </c>
      <c r="D64" s="32">
        <f>D65</f>
        <v>33.378</v>
      </c>
      <c r="E64" s="34">
        <f t="shared" si="3"/>
        <v>18.554466012941099</v>
      </c>
      <c r="F64" s="34">
        <f t="shared" si="4"/>
        <v>-146.51400000000001</v>
      </c>
    </row>
    <row r="65" spans="1:7">
      <c r="A65" s="43" t="s">
        <v>48</v>
      </c>
      <c r="B65" s="44" t="s">
        <v>49</v>
      </c>
      <c r="C65" s="37">
        <v>179.892</v>
      </c>
      <c r="D65" s="37">
        <v>33.378</v>
      </c>
      <c r="E65" s="38">
        <f t="shared" si="3"/>
        <v>18.554466012941099</v>
      </c>
      <c r="F65" s="38">
        <f t="shared" si="4"/>
        <v>-146.51400000000001</v>
      </c>
    </row>
    <row r="66" spans="1:7" s="6" customFormat="1" ht="18.75" customHeight="1">
      <c r="A66" s="30" t="s">
        <v>50</v>
      </c>
      <c r="B66" s="31" t="s">
        <v>51</v>
      </c>
      <c r="C66" s="32">
        <f>C70+C69+C68+C67+C71</f>
        <v>10</v>
      </c>
      <c r="D66" s="32">
        <f>D70+D69+D68+D67</f>
        <v>1.35</v>
      </c>
      <c r="E66" s="34">
        <f t="shared" si="3"/>
        <v>13.5</v>
      </c>
      <c r="F66" s="34">
        <f t="shared" si="4"/>
        <v>-8.65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1.5</v>
      </c>
      <c r="D69" s="37">
        <v>0</v>
      </c>
      <c r="E69" s="38">
        <f t="shared" si="3"/>
        <v>0</v>
      </c>
      <c r="F69" s="38">
        <f t="shared" si="4"/>
        <v>-1.5</v>
      </c>
    </row>
    <row r="70" spans="1:7" ht="15.75" customHeight="1">
      <c r="A70" s="46" t="s">
        <v>219</v>
      </c>
      <c r="B70" s="47" t="s">
        <v>220</v>
      </c>
      <c r="C70" s="37">
        <v>6.5</v>
      </c>
      <c r="D70" s="37">
        <v>1.35</v>
      </c>
      <c r="E70" s="38">
        <f>SUM(D70/C70*100)</f>
        <v>20.76923076923077</v>
      </c>
      <c r="F70" s="38">
        <f>SUM(D70-C70)</f>
        <v>-5.15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/>
      <c r="E71" s="38"/>
      <c r="F71" s="38"/>
    </row>
    <row r="72" spans="1:7" s="6" customFormat="1">
      <c r="A72" s="30" t="s">
        <v>58</v>
      </c>
      <c r="B72" s="31" t="s">
        <v>59</v>
      </c>
      <c r="C72" s="48">
        <f>SUM(C73:C76)</f>
        <v>1918.6814800000002</v>
      </c>
      <c r="D72" s="48">
        <f>SUM(D73:D76)</f>
        <v>224.49244999999999</v>
      </c>
      <c r="E72" s="34">
        <f t="shared" si="3"/>
        <v>11.700350075823945</v>
      </c>
      <c r="F72" s="34">
        <f t="shared" si="4"/>
        <v>-1694.1890300000002</v>
      </c>
    </row>
    <row r="73" spans="1:7" ht="17.25" customHeight="1">
      <c r="A73" s="35" t="s">
        <v>60</v>
      </c>
      <c r="B73" s="39" t="s">
        <v>61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7.25" customHeight="1">
      <c r="A74" s="35" t="s">
        <v>62</v>
      </c>
      <c r="B74" s="39" t="s">
        <v>63</v>
      </c>
      <c r="C74" s="49">
        <v>145</v>
      </c>
      <c r="D74" s="37">
        <v>10.69</v>
      </c>
      <c r="E74" s="38">
        <f t="shared" si="3"/>
        <v>7.3724137931034477</v>
      </c>
      <c r="F74" s="38">
        <f t="shared" si="4"/>
        <v>-134.31</v>
      </c>
      <c r="G74" s="50"/>
    </row>
    <row r="75" spans="1:7">
      <c r="A75" s="35" t="s">
        <v>64</v>
      </c>
      <c r="B75" s="39" t="s">
        <v>65</v>
      </c>
      <c r="C75" s="49">
        <v>1676.9789800000001</v>
      </c>
      <c r="D75" s="37">
        <v>190.80244999999999</v>
      </c>
      <c r="E75" s="38">
        <f t="shared" si="3"/>
        <v>11.377748455737947</v>
      </c>
      <c r="F75" s="38">
        <f t="shared" si="4"/>
        <v>-1486.1765300000002</v>
      </c>
    </row>
    <row r="76" spans="1:7">
      <c r="A76" s="35" t="s">
        <v>66</v>
      </c>
      <c r="B76" s="39" t="s">
        <v>67</v>
      </c>
      <c r="C76" s="49">
        <v>90</v>
      </c>
      <c r="D76" s="37">
        <v>23</v>
      </c>
      <c r="E76" s="38">
        <f t="shared" si="3"/>
        <v>25.555555555555554</v>
      </c>
      <c r="F76" s="38">
        <f t="shared" si="4"/>
        <v>-67</v>
      </c>
    </row>
    <row r="77" spans="1:7" s="6" customFormat="1" ht="18" customHeight="1">
      <c r="A77" s="30" t="s">
        <v>68</v>
      </c>
      <c r="B77" s="31" t="s">
        <v>69</v>
      </c>
      <c r="C77" s="32">
        <f>SUM(C78:C81)</f>
        <v>1090.509</v>
      </c>
      <c r="D77" s="32">
        <f>SUM(D78:D81)</f>
        <v>67.317260000000005</v>
      </c>
      <c r="E77" s="34">
        <f t="shared" si="3"/>
        <v>6.1730127857725154</v>
      </c>
      <c r="F77" s="34">
        <f t="shared" si="4"/>
        <v>-1023.19174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74</v>
      </c>
      <c r="B80" s="39" t="s">
        <v>75</v>
      </c>
      <c r="C80" s="37">
        <v>1090.509</v>
      </c>
      <c r="D80" s="37">
        <v>67.317260000000005</v>
      </c>
      <c r="E80" s="38">
        <f t="shared" si="3"/>
        <v>6.1730127857725154</v>
      </c>
      <c r="F80" s="38">
        <f t="shared" si="4"/>
        <v>-1023.19174</v>
      </c>
    </row>
    <row r="81" spans="1:6" ht="31.5" hidden="1">
      <c r="A81" s="35" t="s">
        <v>264</v>
      </c>
      <c r="B81" s="39" t="s">
        <v>278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86</v>
      </c>
      <c r="B82" s="31" t="s">
        <v>87</v>
      </c>
      <c r="C82" s="32">
        <f>C83</f>
        <v>1599.1</v>
      </c>
      <c r="D82" s="32">
        <f>SUM(D83)</f>
        <v>397.57799999999997</v>
      </c>
      <c r="E82" s="34">
        <f t="shared" si="3"/>
        <v>24.862610218247763</v>
      </c>
      <c r="F82" s="34">
        <f t="shared" si="4"/>
        <v>-1201.5219999999999</v>
      </c>
    </row>
    <row r="83" spans="1:6" ht="16.5" hidden="1" customHeight="1">
      <c r="A83" s="35" t="s">
        <v>88</v>
      </c>
      <c r="B83" s="39" t="s">
        <v>234</v>
      </c>
      <c r="C83" s="37">
        <v>1599.1</v>
      </c>
      <c r="D83" s="37">
        <v>397.57799999999997</v>
      </c>
      <c r="E83" s="38">
        <f t="shared" si="3"/>
        <v>24.862610218247763</v>
      </c>
      <c r="F83" s="38">
        <f t="shared" si="4"/>
        <v>-1201.5219999999999</v>
      </c>
    </row>
    <row r="84" spans="1:6" s="6" customFormat="1" ht="18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90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91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92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95</v>
      </c>
      <c r="B89" s="31" t="s">
        <v>96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9.5" customHeight="1">
      <c r="A90" s="35" t="s">
        <v>97</v>
      </c>
      <c r="B90" s="39" t="s">
        <v>98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115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119</v>
      </c>
      <c r="C99" s="375">
        <f>C56+C64+C66+C72+C77+C82+C84+C89+C95</f>
        <v>6004.4174800000001</v>
      </c>
      <c r="D99" s="375">
        <f>D56+D64+D66+D72+D77+D82+D84+D89+D95</f>
        <v>961.88704000000007</v>
      </c>
      <c r="E99" s="34">
        <f t="shared" si="3"/>
        <v>16.01965624815282</v>
      </c>
      <c r="F99" s="34">
        <f t="shared" si="4"/>
        <v>-5042.5304400000005</v>
      </c>
    </row>
    <row r="100" spans="1:6" ht="20.25" customHeight="1">
      <c r="C100" s="342"/>
      <c r="D100" s="343"/>
    </row>
    <row r="101" spans="1:6" s="65" customFormat="1" ht="13.5" customHeight="1">
      <c r="A101" s="63" t="s">
        <v>120</v>
      </c>
      <c r="B101" s="63"/>
      <c r="C101" s="64"/>
      <c r="D101" s="64"/>
    </row>
    <row r="102" spans="1:6" s="65" customFormat="1" ht="12.75">
      <c r="A102" s="66" t="s">
        <v>121</v>
      </c>
      <c r="B102" s="66"/>
      <c r="C102" s="134" t="s">
        <v>122</v>
      </c>
      <c r="D102" s="134"/>
    </row>
    <row r="103" spans="1:6" ht="5.25" customHeight="1"/>
  </sheetData>
  <customSheetViews>
    <customSheetView guid="{35821C05-60FE-4C33-8558-8CF10812F6FC}" hiddenRows="1" topLeftCell="A51">
      <selection activeCell="D98" sqref="D98"/>
      <pageMargins left="0.7" right="0.7" top="0.75" bottom="0.75" header="0.3" footer="0.3"/>
      <pageSetup paperSize="9" scale="57" orientation="portrait" r:id="rId1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2"/>
    </customSheetView>
    <customSheetView guid="{61528DAC-5C4C-48F4-ADE2-8A724B05A086}" scale="70" showPageBreaks="1" hiddenRows="1" view="pageBreakPreview" topLeftCell="A18">
      <selection activeCell="E99" sqref="E9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14">
      <selection activeCell="C98" sqref="C9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6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9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3"/>
  <sheetViews>
    <sheetView topLeftCell="A10" zoomScaleNormal="100" zoomScaleSheetLayoutView="70" workbookViewId="0">
      <selection activeCell="C35" sqref="C35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424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1828.2080000000001</v>
      </c>
      <c r="D4" s="5">
        <f>D5+D12+D14+D17+D7+D20</f>
        <v>345.79293999999999</v>
      </c>
      <c r="E4" s="5">
        <f>SUM(D4/C4*100)</f>
        <v>18.914310625486813</v>
      </c>
      <c r="F4" s="5">
        <f>SUM(D4-C4)</f>
        <v>-1482.41506</v>
      </c>
    </row>
    <row r="5" spans="1:6" s="6" customFormat="1">
      <c r="A5" s="68">
        <v>1010000000</v>
      </c>
      <c r="B5" s="67" t="s">
        <v>6</v>
      </c>
      <c r="C5" s="5">
        <f>C6</f>
        <v>111.54300000000001</v>
      </c>
      <c r="D5" s="5">
        <f>D6</f>
        <v>26.415610000000001</v>
      </c>
      <c r="E5" s="5">
        <f t="shared" ref="E5:E51" si="0">SUM(D5/C5*100)</f>
        <v>23.6819970773603</v>
      </c>
      <c r="F5" s="5">
        <f t="shared" ref="F5:F48" si="1">SUM(D5-C5)</f>
        <v>-85.127390000000005</v>
      </c>
    </row>
    <row r="6" spans="1:6">
      <c r="A6" s="7">
        <v>1010200001</v>
      </c>
      <c r="B6" s="8" t="s">
        <v>229</v>
      </c>
      <c r="C6" s="9">
        <v>111.54300000000001</v>
      </c>
      <c r="D6" s="10">
        <v>26.415610000000001</v>
      </c>
      <c r="E6" s="9">
        <f t="shared" ref="E6:E11" si="2">SUM(D6/C6*100)</f>
        <v>23.6819970773603</v>
      </c>
      <c r="F6" s="9">
        <f t="shared" si="1"/>
        <v>-85.127390000000005</v>
      </c>
    </row>
    <row r="7" spans="1:6" ht="31.5">
      <c r="A7" s="3">
        <v>1030000000</v>
      </c>
      <c r="B7" s="13" t="s">
        <v>281</v>
      </c>
      <c r="C7" s="5">
        <f>C8+C10+C9</f>
        <v>523.66500000000008</v>
      </c>
      <c r="D7" s="5">
        <f>D8+D10+D9+D11</f>
        <v>153.67719</v>
      </c>
      <c r="E7" s="9">
        <f t="shared" si="2"/>
        <v>29.346469594110737</v>
      </c>
      <c r="F7" s="9">
        <f t="shared" si="1"/>
        <v>-369.98781000000008</v>
      </c>
    </row>
    <row r="8" spans="1:6">
      <c r="A8" s="7">
        <v>1030223001</v>
      </c>
      <c r="B8" s="8" t="s">
        <v>283</v>
      </c>
      <c r="C8" s="9">
        <v>195.33</v>
      </c>
      <c r="D8" s="10">
        <v>67.509299999999996</v>
      </c>
      <c r="E8" s="9">
        <f t="shared" si="2"/>
        <v>34.561664874827215</v>
      </c>
      <c r="F8" s="9">
        <f t="shared" si="1"/>
        <v>-127.82070000000002</v>
      </c>
    </row>
    <row r="9" spans="1:6">
      <c r="A9" s="7">
        <v>1030224001</v>
      </c>
      <c r="B9" s="8" t="s">
        <v>289</v>
      </c>
      <c r="C9" s="9">
        <v>2.0950000000000002</v>
      </c>
      <c r="D9" s="10">
        <v>0.47171000000000002</v>
      </c>
      <c r="E9" s="9">
        <f t="shared" si="2"/>
        <v>22.515990453460617</v>
      </c>
      <c r="F9" s="9">
        <f t="shared" si="1"/>
        <v>-1.6232900000000001</v>
      </c>
    </row>
    <row r="10" spans="1:6">
      <c r="A10" s="7">
        <v>1030225001</v>
      </c>
      <c r="B10" s="8" t="s">
        <v>282</v>
      </c>
      <c r="C10" s="9">
        <v>326.24</v>
      </c>
      <c r="D10" s="10">
        <v>98.982529999999997</v>
      </c>
      <c r="E10" s="9">
        <f t="shared" si="2"/>
        <v>30.340402770966158</v>
      </c>
      <c r="F10" s="9">
        <f t="shared" si="1"/>
        <v>-227.25747000000001</v>
      </c>
    </row>
    <row r="11" spans="1:6">
      <c r="A11" s="7">
        <v>1030226001</v>
      </c>
      <c r="B11" s="8" t="s">
        <v>291</v>
      </c>
      <c r="C11" s="9">
        <v>0</v>
      </c>
      <c r="D11" s="10">
        <v>-13.286350000000001</v>
      </c>
      <c r="E11" s="9" t="e">
        <f t="shared" si="2"/>
        <v>#DIV/0!</v>
      </c>
      <c r="F11" s="9">
        <f t="shared" si="1"/>
        <v>-13.286350000000001</v>
      </c>
    </row>
    <row r="12" spans="1:6" s="6" customFormat="1">
      <c r="A12" s="68">
        <v>1050000000</v>
      </c>
      <c r="B12" s="67" t="s">
        <v>7</v>
      </c>
      <c r="C12" s="5">
        <f>SUM(C13:C13)</f>
        <v>45</v>
      </c>
      <c r="D12" s="5">
        <f>D13</f>
        <v>13.5954</v>
      </c>
      <c r="E12" s="5">
        <f t="shared" si="0"/>
        <v>30.212</v>
      </c>
      <c r="F12" s="5">
        <f t="shared" si="1"/>
        <v>-31.404600000000002</v>
      </c>
    </row>
    <row r="13" spans="1:6" ht="15.75" customHeight="1">
      <c r="A13" s="7">
        <v>1050300000</v>
      </c>
      <c r="B13" s="11" t="s">
        <v>230</v>
      </c>
      <c r="C13" s="12">
        <v>45</v>
      </c>
      <c r="D13" s="10">
        <v>13.5954</v>
      </c>
      <c r="E13" s="9">
        <f t="shared" si="0"/>
        <v>30.212</v>
      </c>
      <c r="F13" s="9">
        <f t="shared" si="1"/>
        <v>-31.404600000000002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1138</v>
      </c>
      <c r="D14" s="5">
        <f>D15+D16</f>
        <v>149.92973999999998</v>
      </c>
      <c r="E14" s="5">
        <f t="shared" si="0"/>
        <v>13.174845342706501</v>
      </c>
      <c r="F14" s="5">
        <f t="shared" si="1"/>
        <v>-988.07025999999996</v>
      </c>
    </row>
    <row r="15" spans="1:6" s="6" customFormat="1" ht="15.75" customHeight="1">
      <c r="A15" s="7">
        <v>1060100000</v>
      </c>
      <c r="B15" s="11" t="s">
        <v>9</v>
      </c>
      <c r="C15" s="9">
        <v>138</v>
      </c>
      <c r="D15" s="10">
        <v>5.8067399999999996</v>
      </c>
      <c r="E15" s="9">
        <f t="shared" si="0"/>
        <v>4.207782608695652</v>
      </c>
      <c r="F15" s="9">
        <f>SUM(D15-C15)</f>
        <v>-132.19326000000001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144.12299999999999</v>
      </c>
      <c r="E16" s="9">
        <f t="shared" si="0"/>
        <v>14.4123</v>
      </c>
      <c r="F16" s="9">
        <f t="shared" si="1"/>
        <v>-855.87699999999995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2.1749999999999998</v>
      </c>
      <c r="E17" s="5">
        <f t="shared" si="0"/>
        <v>21.749999999999996</v>
      </c>
      <c r="F17" s="5">
        <f t="shared" si="1"/>
        <v>-7.8250000000000002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2.1749999999999998</v>
      </c>
      <c r="E18" s="9">
        <f t="shared" si="0"/>
        <v>21.749999999999996</v>
      </c>
      <c r="F18" s="9">
        <f t="shared" si="1"/>
        <v>-7.8250000000000002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C26+C29+C31+C36+C34</f>
        <v>89</v>
      </c>
      <c r="D25" s="5">
        <f>D26+D29+D31+D36+D34</f>
        <v>22.703440000000001</v>
      </c>
      <c r="E25" s="5">
        <f t="shared" si="0"/>
        <v>25.509483146067417</v>
      </c>
      <c r="F25" s="5">
        <f t="shared" si="1"/>
        <v>-66.296559999999999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89</v>
      </c>
      <c r="D26" s="374">
        <f>D27+D28</f>
        <v>22.703440000000001</v>
      </c>
      <c r="E26" s="5">
        <f t="shared" si="0"/>
        <v>25.509483146067417</v>
      </c>
      <c r="F26" s="5">
        <f t="shared" si="1"/>
        <v>-66.296559999999999</v>
      </c>
    </row>
    <row r="27" spans="1:6">
      <c r="A27" s="16">
        <v>1110502510</v>
      </c>
      <c r="B27" s="17" t="s">
        <v>226</v>
      </c>
      <c r="C27" s="12">
        <v>83</v>
      </c>
      <c r="D27" s="10">
        <v>21.01</v>
      </c>
      <c r="E27" s="9">
        <f t="shared" si="0"/>
        <v>25.313253012048193</v>
      </c>
      <c r="F27" s="9">
        <f t="shared" si="1"/>
        <v>-61.989999999999995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1.6934400000000001</v>
      </c>
      <c r="E28" s="9">
        <f t="shared" si="0"/>
        <v>28.224</v>
      </c>
      <c r="F28" s="9">
        <f t="shared" si="1"/>
        <v>-4.3065600000000002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1917.2080000000001</v>
      </c>
      <c r="D39" s="127">
        <f>SUM(D4,D25)</f>
        <v>368.49637999999999</v>
      </c>
      <c r="E39" s="5">
        <f t="shared" si="0"/>
        <v>19.220469557815324</v>
      </c>
      <c r="F39" s="5">
        <f t="shared" si="1"/>
        <v>-1548.71162</v>
      </c>
    </row>
    <row r="40" spans="1:7" s="6" customFormat="1">
      <c r="A40" s="3">
        <v>2000000000</v>
      </c>
      <c r="B40" s="4" t="s">
        <v>20</v>
      </c>
      <c r="C40" s="341">
        <f>C41+C42+C43+C44+C48+C49</f>
        <v>5329.3069999999998</v>
      </c>
      <c r="D40" s="341">
        <f>D41+D42+D43+D44+D48+D49+D50</f>
        <v>1249.472</v>
      </c>
      <c r="E40" s="5">
        <f t="shared" si="0"/>
        <v>23.445299735969424</v>
      </c>
      <c r="F40" s="5">
        <f t="shared" si="1"/>
        <v>-4079.835</v>
      </c>
      <c r="G40" s="19"/>
    </row>
    <row r="41" spans="1:7">
      <c r="A41" s="16">
        <v>2021000000</v>
      </c>
      <c r="B41" s="17" t="s">
        <v>21</v>
      </c>
      <c r="C41" s="12">
        <v>2862</v>
      </c>
      <c r="D41" s="20">
        <v>715.5</v>
      </c>
      <c r="E41" s="9">
        <f t="shared" si="0"/>
        <v>25</v>
      </c>
      <c r="F41" s="9">
        <f t="shared" si="1"/>
        <v>-2146.5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2060.44</v>
      </c>
      <c r="D43" s="10">
        <v>264.649</v>
      </c>
      <c r="E43" s="9">
        <f t="shared" si="0"/>
        <v>12.844295393216981</v>
      </c>
      <c r="F43" s="9">
        <f t="shared" si="1"/>
        <v>-1795.7910000000002</v>
      </c>
    </row>
    <row r="44" spans="1:7" ht="18" customHeight="1">
      <c r="A44" s="16">
        <v>2023000000</v>
      </c>
      <c r="B44" s="17" t="s">
        <v>23</v>
      </c>
      <c r="C44" s="12">
        <v>182.04300000000001</v>
      </c>
      <c r="D44" s="250">
        <v>44.499000000000002</v>
      </c>
      <c r="E44" s="9">
        <f t="shared" si="0"/>
        <v>24.444224716138496</v>
      </c>
      <c r="F44" s="9">
        <f t="shared" si="1"/>
        <v>-137.54400000000001</v>
      </c>
    </row>
    <row r="45" spans="1:7" ht="0.75" hidden="1" customHeight="1">
      <c r="A45" s="16">
        <v>2020400000</v>
      </c>
      <c r="B45" s="17" t="s">
        <v>24</v>
      </c>
      <c r="C45" s="12"/>
      <c r="D45" s="25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353</v>
      </c>
      <c r="C49" s="12">
        <v>224.82400000000001</v>
      </c>
      <c r="D49" s="10">
        <v>224.82400000000001</v>
      </c>
      <c r="E49" s="9">
        <f>SUM(D49/C49*100)</f>
        <v>100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26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28</v>
      </c>
      <c r="C51" s="371">
        <f>C39+C40</f>
        <v>7246.5149999999994</v>
      </c>
      <c r="D51" s="371">
        <f>SUM(D39,D40,)</f>
        <v>1617.96838</v>
      </c>
      <c r="E51" s="5">
        <f t="shared" si="0"/>
        <v>22.327537857853052</v>
      </c>
      <c r="F51" s="5">
        <f>SUM(D51-C51)</f>
        <v>-5628.5466199999992</v>
      </c>
      <c r="G51" s="292"/>
    </row>
    <row r="52" spans="1:7" s="6" customFormat="1">
      <c r="A52" s="3"/>
      <c r="B52" s="21" t="s">
        <v>321</v>
      </c>
      <c r="C52" s="371">
        <f>C51-C98</f>
        <v>-288.52385000000049</v>
      </c>
      <c r="D52" s="371">
        <f>D51-D98</f>
        <v>537.36508000000003</v>
      </c>
      <c r="E52" s="22"/>
      <c r="F52" s="22"/>
    </row>
    <row r="53" spans="1:7">
      <c r="A53" s="23"/>
      <c r="B53" s="24"/>
      <c r="C53" s="249"/>
      <c r="D53" s="249"/>
      <c r="E53" s="26"/>
      <c r="F53" s="92"/>
    </row>
    <row r="54" spans="1:7" ht="60" customHeight="1">
      <c r="A54" s="28" t="s">
        <v>1</v>
      </c>
      <c r="B54" s="28" t="s">
        <v>29</v>
      </c>
      <c r="C54" s="242" t="s">
        <v>412</v>
      </c>
      <c r="D54" s="243" t="s">
        <v>419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32">
        <f>C57+C58+C59+C60+C61+C63+C62</f>
        <v>1357.5060000000001</v>
      </c>
      <c r="D56" s="245">
        <f>D57+D58+D59+D60+D61+D63+D62</f>
        <v>237.80822000000001</v>
      </c>
      <c r="E56" s="34">
        <f>SUM(D56/C56*100)</f>
        <v>17.518023493082165</v>
      </c>
      <c r="F56" s="34">
        <f>SUM(D56-C56)</f>
        <v>-1119.69778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1348</v>
      </c>
      <c r="D58" s="37">
        <v>233.30271999999999</v>
      </c>
      <c r="E58" s="38">
        <f t="shared" ref="E58:E98" si="3">SUM(D58/C58*100)</f>
        <v>17.3073234421365</v>
      </c>
      <c r="F58" s="38">
        <f t="shared" ref="F58:F98" si="4">SUM(D58-C58)</f>
        <v>-1114.6972800000001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44</v>
      </c>
      <c r="B63" s="39" t="s">
        <v>45</v>
      </c>
      <c r="C63" s="37">
        <v>4.5060000000000002</v>
      </c>
      <c r="D63" s="37">
        <v>4.5054999999999996</v>
      </c>
      <c r="E63" s="38">
        <f t="shared" si="3"/>
        <v>99.988903683976901</v>
      </c>
      <c r="F63" s="38">
        <f t="shared" si="4"/>
        <v>-5.0000000000061107E-4</v>
      </c>
    </row>
    <row r="64" spans="1:7" s="6" customFormat="1">
      <c r="A64" s="41" t="s">
        <v>46</v>
      </c>
      <c r="B64" s="42" t="s">
        <v>47</v>
      </c>
      <c r="C64" s="32">
        <f>C65</f>
        <v>179.892</v>
      </c>
      <c r="D64" s="32">
        <f>D65</f>
        <v>34.253120000000003</v>
      </c>
      <c r="E64" s="34">
        <f>SUM(D64/C64*100)</f>
        <v>19.040935672514621</v>
      </c>
      <c r="F64" s="34">
        <f t="shared" si="4"/>
        <v>-145.63888</v>
      </c>
    </row>
    <row r="65" spans="1:7">
      <c r="A65" s="43" t="s">
        <v>48</v>
      </c>
      <c r="B65" s="44" t="s">
        <v>49</v>
      </c>
      <c r="C65" s="37">
        <v>179.892</v>
      </c>
      <c r="D65" s="37">
        <v>34.253120000000003</v>
      </c>
      <c r="E65" s="464">
        <f>SUM(D65/C65*100)</f>
        <v>19.040935672514621</v>
      </c>
      <c r="F65" s="38">
        <f t="shared" si="4"/>
        <v>-145.63888</v>
      </c>
    </row>
    <row r="66" spans="1:7" s="6" customFormat="1" ht="18" customHeight="1">
      <c r="A66" s="30" t="s">
        <v>50</v>
      </c>
      <c r="B66" s="31" t="s">
        <v>51</v>
      </c>
      <c r="C66" s="32">
        <f>C69+C70+C71</f>
        <v>6</v>
      </c>
      <c r="D66" s="32">
        <f>D69+D70</f>
        <v>0</v>
      </c>
      <c r="E66" s="34">
        <f t="shared" si="3"/>
        <v>0</v>
      </c>
      <c r="F66" s="34">
        <f t="shared" si="4"/>
        <v>-6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/>
      <c r="E71" s="34"/>
      <c r="F71" s="34"/>
    </row>
    <row r="72" spans="1:7" s="6" customFormat="1" ht="16.5" customHeight="1">
      <c r="A72" s="30" t="s">
        <v>58</v>
      </c>
      <c r="B72" s="31" t="s">
        <v>59</v>
      </c>
      <c r="C72" s="48">
        <f>C73+C74+C75+C76</f>
        <v>3450.3148500000002</v>
      </c>
      <c r="D72" s="48">
        <f>SUM(D73:D76)</f>
        <v>209.52681000000001</v>
      </c>
      <c r="E72" s="34">
        <f t="shared" si="3"/>
        <v>6.0726866708990341</v>
      </c>
      <c r="F72" s="34">
        <f t="shared" si="4"/>
        <v>-3240.7880400000004</v>
      </c>
    </row>
    <row r="73" spans="1:7" ht="15" customHeight="1">
      <c r="A73" s="35" t="s">
        <v>60</v>
      </c>
      <c r="B73" s="39" t="s">
        <v>61</v>
      </c>
      <c r="C73" s="49">
        <v>5.3620000000000001</v>
      </c>
      <c r="D73" s="37">
        <v>0</v>
      </c>
      <c r="E73" s="38">
        <f t="shared" si="3"/>
        <v>0</v>
      </c>
      <c r="F73" s="38">
        <f t="shared" si="4"/>
        <v>-5.3620000000000001</v>
      </c>
    </row>
    <row r="74" spans="1:7" s="6" customFormat="1" ht="15" customHeight="1">
      <c r="A74" s="35" t="s">
        <v>62</v>
      </c>
      <c r="B74" s="39" t="s">
        <v>63</v>
      </c>
      <c r="C74" s="49">
        <v>256</v>
      </c>
      <c r="D74" s="37">
        <v>0</v>
      </c>
      <c r="E74" s="38">
        <f t="shared" si="3"/>
        <v>0</v>
      </c>
      <c r="F74" s="38">
        <f t="shared" si="4"/>
        <v>-256</v>
      </c>
      <c r="G74" s="50"/>
    </row>
    <row r="75" spans="1:7">
      <c r="A75" s="35" t="s">
        <v>64</v>
      </c>
      <c r="B75" s="39" t="s">
        <v>65</v>
      </c>
      <c r="C75" s="49">
        <v>2938.9528500000001</v>
      </c>
      <c r="D75" s="37">
        <v>186.72681</v>
      </c>
      <c r="E75" s="38">
        <f t="shared" si="3"/>
        <v>6.3535149942946507</v>
      </c>
      <c r="F75" s="38">
        <f t="shared" si="4"/>
        <v>-2752.22604</v>
      </c>
    </row>
    <row r="76" spans="1:7">
      <c r="A76" s="35" t="s">
        <v>66</v>
      </c>
      <c r="B76" s="39" t="s">
        <v>67</v>
      </c>
      <c r="C76" s="49">
        <v>250</v>
      </c>
      <c r="D76" s="37">
        <v>22.8</v>
      </c>
      <c r="E76" s="38">
        <f t="shared" si="3"/>
        <v>9.120000000000001</v>
      </c>
      <c r="F76" s="38">
        <f t="shared" si="4"/>
        <v>-227.2</v>
      </c>
    </row>
    <row r="77" spans="1:7" s="6" customFormat="1" ht="18" customHeight="1">
      <c r="A77" s="30" t="s">
        <v>68</v>
      </c>
      <c r="B77" s="31" t="s">
        <v>69</v>
      </c>
      <c r="C77" s="32">
        <f>SUM(C78:C80)</f>
        <v>492.63799999999998</v>
      </c>
      <c r="D77" s="32">
        <f>SUM(D78:D80)</f>
        <v>17</v>
      </c>
      <c r="E77" s="34">
        <f t="shared" si="3"/>
        <v>3.4508097223519094</v>
      </c>
      <c r="F77" s="34">
        <f t="shared" si="4"/>
        <v>-475.63799999999998</v>
      </c>
    </row>
    <row r="78" spans="1:7" ht="14.25" customHeight="1">
      <c r="A78" s="35" t="s">
        <v>70</v>
      </c>
      <c r="B78" s="51" t="s">
        <v>71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customHeight="1">
      <c r="A79" s="35" t="s">
        <v>72</v>
      </c>
      <c r="B79" s="51" t="s">
        <v>73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74</v>
      </c>
      <c r="B80" s="39" t="s">
        <v>75</v>
      </c>
      <c r="C80" s="37">
        <v>492.63799999999998</v>
      </c>
      <c r="D80" s="37">
        <v>17</v>
      </c>
      <c r="E80" s="38">
        <f t="shared" si="3"/>
        <v>3.4508097223519094</v>
      </c>
      <c r="F80" s="38">
        <f t="shared" si="4"/>
        <v>-475.63799999999998</v>
      </c>
    </row>
    <row r="81" spans="1:6" s="6" customFormat="1">
      <c r="A81" s="30" t="s">
        <v>86</v>
      </c>
      <c r="B81" s="31" t="s">
        <v>87</v>
      </c>
      <c r="C81" s="32">
        <f>C82</f>
        <v>2028.6880000000001</v>
      </c>
      <c r="D81" s="32">
        <f>D82</f>
        <v>580.41615000000002</v>
      </c>
      <c r="E81" s="34">
        <f>SUM(D81/C81*100)</f>
        <v>28.610419640674166</v>
      </c>
      <c r="F81" s="34">
        <f t="shared" si="4"/>
        <v>-1448.2718500000001</v>
      </c>
    </row>
    <row r="82" spans="1:6" ht="15.75" customHeight="1">
      <c r="A82" s="35" t="s">
        <v>88</v>
      </c>
      <c r="B82" s="39" t="s">
        <v>234</v>
      </c>
      <c r="C82" s="37">
        <v>2028.6880000000001</v>
      </c>
      <c r="D82" s="37">
        <v>580.41615000000002</v>
      </c>
      <c r="E82" s="38">
        <f>SUM(D82/C82*100)</f>
        <v>28.610419640674166</v>
      </c>
      <c r="F82" s="38">
        <f t="shared" si="4"/>
        <v>-1448.2718500000001</v>
      </c>
    </row>
    <row r="83" spans="1:6" s="6" customFormat="1" ht="1.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95</v>
      </c>
      <c r="B88" s="31" t="s">
        <v>96</v>
      </c>
      <c r="C88" s="32">
        <f>C89+C90+C91+C92+C93</f>
        <v>20</v>
      </c>
      <c r="D88" s="32">
        <f>D89+D90+D91+D92+D93</f>
        <v>1.599</v>
      </c>
      <c r="E88" s="38">
        <f t="shared" si="3"/>
        <v>7.9949999999999992</v>
      </c>
      <c r="F88" s="22">
        <f>F89+F90+F91+F92+F93</f>
        <v>-18.401</v>
      </c>
    </row>
    <row r="89" spans="1:6" ht="18.75" customHeight="1">
      <c r="A89" s="35" t="s">
        <v>97</v>
      </c>
      <c r="B89" s="39" t="s">
        <v>98</v>
      </c>
      <c r="C89" s="37">
        <v>20</v>
      </c>
      <c r="D89" s="37">
        <v>1.599</v>
      </c>
      <c r="E89" s="38">
        <f t="shared" si="3"/>
        <v>7.9949999999999992</v>
      </c>
      <c r="F89" s="38">
        <f>SUM(D89-C89)</f>
        <v>-18.401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119</v>
      </c>
      <c r="C98" s="375">
        <f>C56+C64+C66+C72+C77+C81+C83+C88+C94</f>
        <v>7535.0388499999999</v>
      </c>
      <c r="D98" s="375">
        <f>D56+D64+D66+D72+D77+D81+D83+D88+D94</f>
        <v>1080.6033</v>
      </c>
      <c r="E98" s="34">
        <f t="shared" si="3"/>
        <v>14.341044837479505</v>
      </c>
      <c r="F98" s="34">
        <f t="shared" si="4"/>
        <v>-6454.4355500000001</v>
      </c>
      <c r="G98" s="292"/>
    </row>
    <row r="99" spans="1:7" ht="0.75" customHeight="1">
      <c r="C99" s="126"/>
      <c r="D99" s="101"/>
    </row>
    <row r="100" spans="1:7" s="65" customFormat="1" ht="16.5" customHeight="1">
      <c r="A100" s="63" t="s">
        <v>120</v>
      </c>
      <c r="B100" s="63"/>
      <c r="C100" s="248"/>
      <c r="D100" s="248"/>
    </row>
    <row r="101" spans="1:7" s="65" customFormat="1" ht="20.25" customHeight="1">
      <c r="A101" s="66" t="s">
        <v>121</v>
      </c>
      <c r="B101" s="66"/>
      <c r="C101" s="65" t="s">
        <v>122</v>
      </c>
    </row>
    <row r="102" spans="1:7" ht="13.5" customHeight="1">
      <c r="C102" s="120"/>
    </row>
    <row r="103" spans="1:7" ht="5.25" customHeight="1"/>
  </sheetData>
  <customSheetViews>
    <customSheetView guid="{35821C05-60FE-4C33-8558-8CF10812F6FC}" hiddenRows="1" topLeftCell="A10">
      <selection activeCell="C35" sqref="C35"/>
      <pageMargins left="0.7" right="0.7" top="0.75" bottom="0.75" header="0.3" footer="0.3"/>
      <pageSetup paperSize="9" scale="49" orientation="portrait" r:id="rId1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2"/>
    </customSheetView>
    <customSheetView guid="{61528DAC-5C4C-48F4-ADE2-8A724B05A086}" scale="70" showPageBreaks="1" hiddenRows="1" view="pageBreakPreview" topLeftCell="A10">
      <selection activeCell="C30" sqref="C3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1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6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7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9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4"/>
  <sheetViews>
    <sheetView topLeftCell="A20" zoomScaleNormal="100" zoomScaleSheetLayoutView="70" workbookViewId="0">
      <selection activeCell="C42" sqref="C4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433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1489.3039999999999</v>
      </c>
      <c r="D4" s="5">
        <f>D5+D12+D14+D17+D20+D7</f>
        <v>338.43259</v>
      </c>
      <c r="E4" s="5">
        <f>SUM(D4/C4*100)</f>
        <v>22.724211443734792</v>
      </c>
      <c r="F4" s="5">
        <f>SUM(D4-C4)</f>
        <v>-1150.8714099999997</v>
      </c>
    </row>
    <row r="5" spans="1:6" s="6" customFormat="1">
      <c r="A5" s="68">
        <v>1010000000</v>
      </c>
      <c r="B5" s="67" t="s">
        <v>6</v>
      </c>
      <c r="C5" s="5">
        <f>C6</f>
        <v>105.069</v>
      </c>
      <c r="D5" s="5">
        <f>D6</f>
        <v>23.969819999999999</v>
      </c>
      <c r="E5" s="5">
        <f t="shared" ref="E5:E51" si="0">SUM(D5/C5*100)</f>
        <v>22.813408331667759</v>
      </c>
      <c r="F5" s="5">
        <f t="shared" ref="F5:F51" si="1">SUM(D5-C5)</f>
        <v>-81.099180000000004</v>
      </c>
    </row>
    <row r="6" spans="1:6">
      <c r="A6" s="7">
        <v>1010200001</v>
      </c>
      <c r="B6" s="8" t="s">
        <v>229</v>
      </c>
      <c r="C6" s="9">
        <v>105.069</v>
      </c>
      <c r="D6" s="10">
        <v>23.969819999999999</v>
      </c>
      <c r="E6" s="9">
        <f t="shared" ref="E6:E11" si="2">SUM(D6/C6*100)</f>
        <v>22.813408331667759</v>
      </c>
      <c r="F6" s="9">
        <f t="shared" si="1"/>
        <v>-81.099180000000004</v>
      </c>
    </row>
    <row r="7" spans="1:6" ht="31.5">
      <c r="A7" s="3">
        <v>1030000000</v>
      </c>
      <c r="B7" s="13" t="s">
        <v>281</v>
      </c>
      <c r="C7" s="5">
        <f>C8+C10+C9</f>
        <v>726.2349999999999</v>
      </c>
      <c r="D7" s="5">
        <f>D8+D10+D9+D11</f>
        <v>213.12434999999999</v>
      </c>
      <c r="E7" s="5">
        <f t="shared" si="2"/>
        <v>29.346471872052437</v>
      </c>
      <c r="F7" s="5">
        <f t="shared" si="1"/>
        <v>-513.11064999999985</v>
      </c>
    </row>
    <row r="8" spans="1:6">
      <c r="A8" s="7">
        <v>1030223001</v>
      </c>
      <c r="B8" s="8" t="s">
        <v>283</v>
      </c>
      <c r="C8" s="9">
        <v>270.89</v>
      </c>
      <c r="D8" s="10">
        <v>93.624009999999998</v>
      </c>
      <c r="E8" s="9">
        <f t="shared" si="2"/>
        <v>34.561633873528002</v>
      </c>
      <c r="F8" s="9">
        <f t="shared" si="1"/>
        <v>-177.26598999999999</v>
      </c>
    </row>
    <row r="9" spans="1:6">
      <c r="A9" s="7">
        <v>1030224001</v>
      </c>
      <c r="B9" s="8" t="s">
        <v>289</v>
      </c>
      <c r="C9" s="9">
        <v>2.9049999999999998</v>
      </c>
      <c r="D9" s="10">
        <v>0.65415000000000001</v>
      </c>
      <c r="E9" s="9">
        <f>SUM(D9/C9*100)</f>
        <v>22.518072289156628</v>
      </c>
      <c r="F9" s="9">
        <f t="shared" si="1"/>
        <v>-2.2508499999999998</v>
      </c>
    </row>
    <row r="10" spans="1:6">
      <c r="A10" s="7">
        <v>1030225001</v>
      </c>
      <c r="B10" s="8" t="s">
        <v>282</v>
      </c>
      <c r="C10" s="9">
        <v>452.44</v>
      </c>
      <c r="D10" s="10">
        <v>137.27211</v>
      </c>
      <c r="E10" s="9">
        <f t="shared" si="2"/>
        <v>30.340400937140839</v>
      </c>
      <c r="F10" s="9">
        <f t="shared" si="1"/>
        <v>-315.16789</v>
      </c>
    </row>
    <row r="11" spans="1:6">
      <c r="A11" s="7">
        <v>1030226001</v>
      </c>
      <c r="B11" s="8" t="s">
        <v>291</v>
      </c>
      <c r="C11" s="9">
        <v>0</v>
      </c>
      <c r="D11" s="10">
        <v>-18.425920000000001</v>
      </c>
      <c r="E11" s="9" t="e">
        <f t="shared" si="2"/>
        <v>#DIV/0!</v>
      </c>
      <c r="F11" s="9">
        <f t="shared" si="1"/>
        <v>-18.425920000000001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52.619700000000002</v>
      </c>
      <c r="E12" s="5">
        <f t="shared" si="0"/>
        <v>210.47880000000001</v>
      </c>
      <c r="F12" s="5">
        <f t="shared" si="1"/>
        <v>27.619700000000002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10">
        <v>52.619700000000002</v>
      </c>
      <c r="E13" s="9">
        <f t="shared" si="0"/>
        <v>210.47880000000001</v>
      </c>
      <c r="F13" s="9">
        <f t="shared" si="1"/>
        <v>27.619700000000002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623</v>
      </c>
      <c r="D14" s="5">
        <f>D15+D16</f>
        <v>45.318719999999999</v>
      </c>
      <c r="E14" s="5">
        <f t="shared" si="0"/>
        <v>7.2742728731942208</v>
      </c>
      <c r="F14" s="5">
        <f t="shared" si="1"/>
        <v>-577.68128000000002</v>
      </c>
    </row>
    <row r="15" spans="1:6" s="6" customFormat="1" ht="15.75" customHeight="1">
      <c r="A15" s="7">
        <v>1060100000</v>
      </c>
      <c r="B15" s="11" t="s">
        <v>9</v>
      </c>
      <c r="C15" s="9">
        <v>153</v>
      </c>
      <c r="D15" s="10">
        <v>6.0052199999999996</v>
      </c>
      <c r="E15" s="9">
        <f t="shared" si="0"/>
        <v>3.9249803921568627</v>
      </c>
      <c r="F15" s="9">
        <f>SUM(D15-C15)</f>
        <v>-146.99477999999999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39.313499999999998</v>
      </c>
      <c r="E16" s="9">
        <f t="shared" si="0"/>
        <v>8.364574468085106</v>
      </c>
      <c r="F16" s="9">
        <f t="shared" si="1"/>
        <v>-430.68650000000002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3.4</v>
      </c>
      <c r="E17" s="5">
        <f t="shared" si="0"/>
        <v>34</v>
      </c>
      <c r="F17" s="5">
        <f t="shared" si="1"/>
        <v>-6.6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3.4</v>
      </c>
      <c r="E18" s="9">
        <f t="shared" si="0"/>
        <v>34</v>
      </c>
      <c r="F18" s="9">
        <f t="shared" si="1"/>
        <v>-6.6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354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350</v>
      </c>
      <c r="D25" s="5">
        <f>D26+D29+D32+D37+D35</f>
        <v>43.583909999999996</v>
      </c>
      <c r="E25" s="5">
        <f t="shared" si="0"/>
        <v>12.452545714285714</v>
      </c>
      <c r="F25" s="5">
        <f t="shared" si="1"/>
        <v>-306.41609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350</v>
      </c>
      <c r="D26" s="5">
        <f>D27+D28</f>
        <v>35.999759999999995</v>
      </c>
      <c r="E26" s="5">
        <f t="shared" si="0"/>
        <v>10.285645714285712</v>
      </c>
      <c r="F26" s="5">
        <f t="shared" si="1"/>
        <v>-314.00024000000002</v>
      </c>
    </row>
    <row r="27" spans="1:6">
      <c r="A27" s="16">
        <v>1110502510</v>
      </c>
      <c r="B27" s="17" t="s">
        <v>226</v>
      </c>
      <c r="C27" s="12">
        <v>300</v>
      </c>
      <c r="D27" s="10">
        <v>16.739999999999998</v>
      </c>
      <c r="E27" s="9">
        <f t="shared" si="0"/>
        <v>5.5799999999999992</v>
      </c>
      <c r="F27" s="9">
        <f t="shared" si="1"/>
        <v>-283.26</v>
      </c>
    </row>
    <row r="28" spans="1:6" ht="18" customHeight="1">
      <c r="A28" s="7">
        <v>1110503505</v>
      </c>
      <c r="B28" s="11" t="s">
        <v>225</v>
      </c>
      <c r="C28" s="12">
        <v>50</v>
      </c>
      <c r="D28" s="10">
        <v>19.25976</v>
      </c>
      <c r="E28" s="9">
        <f t="shared" si="0"/>
        <v>38.51952</v>
      </c>
      <c r="F28" s="9">
        <f t="shared" si="1"/>
        <v>-30.74024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0</v>
      </c>
      <c r="D29" s="5">
        <f>D30+D31</f>
        <v>7.5841500000000002</v>
      </c>
      <c r="E29" s="5" t="e">
        <f t="shared" si="0"/>
        <v>#DIV/0!</v>
      </c>
      <c r="F29" s="5">
        <f t="shared" si="1"/>
        <v>7.5841500000000002</v>
      </c>
    </row>
    <row r="30" spans="1:6" ht="15.75" customHeight="1">
      <c r="A30" s="7">
        <v>1130206510</v>
      </c>
      <c r="B30" s="8" t="s">
        <v>338</v>
      </c>
      <c r="C30" s="9">
        <v>0</v>
      </c>
      <c r="D30" s="319">
        <v>7.5841500000000002</v>
      </c>
      <c r="E30" s="9" t="e">
        <f t="shared" si="0"/>
        <v>#DIV/0!</v>
      </c>
      <c r="F30" s="9">
        <f t="shared" si="1"/>
        <v>7.5841500000000002</v>
      </c>
    </row>
    <row r="31" spans="1:6" ht="17.25" customHeight="1">
      <c r="A31" s="7">
        <v>1130299510</v>
      </c>
      <c r="B31" s="8" t="s">
        <v>355</v>
      </c>
      <c r="C31" s="9">
        <v>0</v>
      </c>
      <c r="D31" s="319">
        <v>0</v>
      </c>
      <c r="E31" s="9" t="e">
        <f>SUM(D31/C31*100)</f>
        <v>#DIV/0!</v>
      </c>
      <c r="F31" s="9">
        <f>SUM(D31-C31)</f>
        <v>0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1839.3039999999999</v>
      </c>
      <c r="D40" s="127">
        <f>D4+D25</f>
        <v>382.01650000000001</v>
      </c>
      <c r="E40" s="5">
        <f t="shared" si="0"/>
        <v>20.769622639868128</v>
      </c>
      <c r="F40" s="5">
        <f t="shared" si="1"/>
        <v>-1457.2874999999999</v>
      </c>
    </row>
    <row r="41" spans="1:7" s="6" customFormat="1">
      <c r="A41" s="3">
        <v>2000000000</v>
      </c>
      <c r="B41" s="4" t="s">
        <v>20</v>
      </c>
      <c r="C41" s="341">
        <f>C42+C43+C44+C45+C46+C48</f>
        <v>5822.9954299999999</v>
      </c>
      <c r="D41" s="341">
        <f>D42+D43+D44+D45+D46+D48+D49</f>
        <v>748.42399999999998</v>
      </c>
      <c r="E41" s="5">
        <f t="shared" si="0"/>
        <v>12.852903784607642</v>
      </c>
      <c r="F41" s="5">
        <f t="shared" si="1"/>
        <v>-5074.57143</v>
      </c>
      <c r="G41" s="19"/>
    </row>
    <row r="42" spans="1:7">
      <c r="A42" s="16">
        <v>2021000000</v>
      </c>
      <c r="B42" s="17" t="s">
        <v>21</v>
      </c>
      <c r="C42" s="99">
        <v>1424.6</v>
      </c>
      <c r="D42" s="99">
        <v>356.15100000000001</v>
      </c>
      <c r="E42" s="9">
        <f t="shared" si="0"/>
        <v>25.000070195142499</v>
      </c>
      <c r="F42" s="9">
        <f t="shared" si="1"/>
        <v>-1068.4489999999998</v>
      </c>
    </row>
    <row r="43" spans="1:7" ht="15.75" customHeight="1">
      <c r="A43" s="16">
        <v>2021500200</v>
      </c>
      <c r="B43" s="17" t="s">
        <v>232</v>
      </c>
      <c r="C43" s="99">
        <v>260</v>
      </c>
      <c r="D43" s="20">
        <v>65</v>
      </c>
      <c r="E43" s="9">
        <f>SUM(D43/C43*100)</f>
        <v>25</v>
      </c>
      <c r="F43" s="9">
        <f>SUM(D43-C43)</f>
        <v>-195</v>
      </c>
    </row>
    <row r="44" spans="1:7">
      <c r="A44" s="16">
        <v>2022000000</v>
      </c>
      <c r="B44" s="17" t="s">
        <v>22</v>
      </c>
      <c r="C44" s="99">
        <v>3448.5478199999998</v>
      </c>
      <c r="D44" s="10">
        <v>282.774</v>
      </c>
      <c r="E44" s="9">
        <f t="shared" si="0"/>
        <v>8.1997992998687774</v>
      </c>
      <c r="F44" s="9">
        <f t="shared" si="1"/>
        <v>-3165.7738199999999</v>
      </c>
    </row>
    <row r="45" spans="1:7" ht="18" customHeight="1">
      <c r="A45" s="16">
        <v>2023000000</v>
      </c>
      <c r="B45" s="17" t="s">
        <v>23</v>
      </c>
      <c r="C45" s="12">
        <v>181.68199999999999</v>
      </c>
      <c r="D45" s="250">
        <v>44.499000000000002</v>
      </c>
      <c r="E45" s="9">
        <f t="shared" si="0"/>
        <v>24.492795103532551</v>
      </c>
      <c r="F45" s="9">
        <f t="shared" si="1"/>
        <v>-137.18299999999999</v>
      </c>
    </row>
    <row r="46" spans="1:7" ht="22.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32.25" customHeight="1">
      <c r="A47" s="16">
        <v>2020900000</v>
      </c>
      <c r="B47" s="18" t="s">
        <v>25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353</v>
      </c>
      <c r="C48" s="12">
        <v>508.16561000000002</v>
      </c>
      <c r="D48" s="251">
        <v>0</v>
      </c>
      <c r="E48" s="9">
        <f t="shared" si="0"/>
        <v>0</v>
      </c>
      <c r="F48" s="9">
        <f t="shared" si="1"/>
        <v>-508.16561000000002</v>
      </c>
    </row>
    <row r="49" spans="1:8" ht="19.5" customHeight="1">
      <c r="A49" s="7">
        <v>2190500005</v>
      </c>
      <c r="B49" s="11" t="s">
        <v>26</v>
      </c>
      <c r="C49" s="12">
        <v>0</v>
      </c>
      <c r="D49" s="251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27</v>
      </c>
      <c r="C50" s="276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71">
        <f>C40+C41</f>
        <v>7662.29943</v>
      </c>
      <c r="D51" s="371">
        <f>D40+D41</f>
        <v>1130.4404999999999</v>
      </c>
      <c r="E51" s="93">
        <f t="shared" si="0"/>
        <v>14.753280139040454</v>
      </c>
      <c r="F51" s="93">
        <f t="shared" si="1"/>
        <v>-6531.8589300000003</v>
      </c>
      <c r="G51" s="292">
        <f>7662.29943-C51</f>
        <v>0</v>
      </c>
      <c r="H51" s="292">
        <f>1130.4405-D51</f>
        <v>0</v>
      </c>
    </row>
    <row r="52" spans="1:8" s="6" customFormat="1">
      <c r="A52" s="3"/>
      <c r="B52" s="21" t="s">
        <v>321</v>
      </c>
      <c r="C52" s="93">
        <f>C51-C99</f>
        <v>-434.22364000000107</v>
      </c>
      <c r="D52" s="93">
        <f>D51-D99</f>
        <v>231.18928000000005</v>
      </c>
      <c r="E52" s="280"/>
      <c r="F52" s="280"/>
    </row>
    <row r="53" spans="1:8">
      <c r="A53" s="23"/>
      <c r="B53" s="24"/>
      <c r="C53" s="249"/>
      <c r="D53" s="249"/>
      <c r="E53" s="26"/>
      <c r="F53" s="27"/>
    </row>
    <row r="54" spans="1:8" ht="45" customHeight="1">
      <c r="A54" s="28" t="s">
        <v>1</v>
      </c>
      <c r="B54" s="28" t="s">
        <v>29</v>
      </c>
      <c r="C54" s="242" t="s">
        <v>412</v>
      </c>
      <c r="D54" s="243" t="s">
        <v>419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1089.4089999999999</v>
      </c>
      <c r="D56" s="33">
        <f>D57+D58+D59+D60+D61+D63+D62</f>
        <v>182.48528999999999</v>
      </c>
      <c r="E56" s="34">
        <f>SUM(D56/C56*100)</f>
        <v>16.750852067497149</v>
      </c>
      <c r="F56" s="34">
        <f>SUM(D56-C56)</f>
        <v>-906.92370999999991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1079.2149999999999</v>
      </c>
      <c r="D58" s="37">
        <v>177.29129</v>
      </c>
      <c r="E58" s="38">
        <f t="shared" ref="E58:E99" si="3">SUM(D58/C58*100)</f>
        <v>16.427800762591328</v>
      </c>
      <c r="F58" s="38">
        <f t="shared" ref="F58:F99" si="4">SUM(D58-C58)</f>
        <v>-901.92370999999991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5.194</v>
      </c>
      <c r="D63" s="37">
        <v>5.194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46</v>
      </c>
      <c r="B64" s="42" t="s">
        <v>47</v>
      </c>
      <c r="C64" s="32">
        <f>C65</f>
        <v>179.892</v>
      </c>
      <c r="D64" s="32">
        <f>D65</f>
        <v>34.669980000000002</v>
      </c>
      <c r="E64" s="34">
        <f t="shared" si="3"/>
        <v>19.2726635981589</v>
      </c>
      <c r="F64" s="34">
        <f t="shared" si="4"/>
        <v>-145.22201999999999</v>
      </c>
    </row>
    <row r="65" spans="1:7">
      <c r="A65" s="43" t="s">
        <v>48</v>
      </c>
      <c r="B65" s="44" t="s">
        <v>49</v>
      </c>
      <c r="C65" s="37">
        <v>179.892</v>
      </c>
      <c r="D65" s="37">
        <v>34.669980000000002</v>
      </c>
      <c r="E65" s="38">
        <f t="shared" si="3"/>
        <v>19.2726635981589</v>
      </c>
      <c r="F65" s="38">
        <f t="shared" si="4"/>
        <v>-145.22201999999999</v>
      </c>
    </row>
    <row r="66" spans="1:7" s="6" customFormat="1" ht="15" customHeight="1">
      <c r="A66" s="30" t="s">
        <v>50</v>
      </c>
      <c r="B66" s="31" t="s">
        <v>51</v>
      </c>
      <c r="C66" s="32">
        <f>C69+C70+C71</f>
        <v>38.99</v>
      </c>
      <c r="D66" s="423">
        <f>D69+D70</f>
        <v>34.79</v>
      </c>
      <c r="E66" s="34">
        <f t="shared" si="3"/>
        <v>89.228007181328536</v>
      </c>
      <c r="F66" s="34">
        <f t="shared" si="4"/>
        <v>-4.2000000000000028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0.2</v>
      </c>
      <c r="D69" s="37">
        <v>0</v>
      </c>
      <c r="E69" s="34">
        <f t="shared" si="3"/>
        <v>0</v>
      </c>
      <c r="F69" s="34">
        <f t="shared" si="4"/>
        <v>-0.2</v>
      </c>
    </row>
    <row r="70" spans="1:7" ht="15.75" customHeight="1">
      <c r="A70" s="46" t="s">
        <v>219</v>
      </c>
      <c r="B70" s="47" t="s">
        <v>220</v>
      </c>
      <c r="C70" s="37">
        <v>36.79</v>
      </c>
      <c r="D70" s="37">
        <v>34.79</v>
      </c>
      <c r="E70" s="34">
        <f t="shared" si="3"/>
        <v>94.563740146779026</v>
      </c>
      <c r="F70" s="34">
        <f t="shared" si="4"/>
        <v>-2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58</v>
      </c>
      <c r="B72" s="31" t="s">
        <v>59</v>
      </c>
      <c r="C72" s="48">
        <f>SUM(C73:C77)</f>
        <v>5083.4035700000004</v>
      </c>
      <c r="D72" s="48">
        <f>SUM(D73:D77)</f>
        <v>328.91795000000002</v>
      </c>
      <c r="E72" s="34">
        <f t="shared" si="3"/>
        <v>6.4704276469633113</v>
      </c>
      <c r="F72" s="34">
        <f t="shared" si="4"/>
        <v>-4754.4856200000004</v>
      </c>
    </row>
    <row r="73" spans="1:7" ht="15" customHeight="1">
      <c r="A73" s="35" t="s">
        <v>60</v>
      </c>
      <c r="B73" s="39" t="s">
        <v>61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62</v>
      </c>
      <c r="B74" s="39" t="s">
        <v>63</v>
      </c>
      <c r="C74" s="49">
        <v>155.00665000000001</v>
      </c>
      <c r="D74" s="37">
        <v>7.5841500000000002</v>
      </c>
      <c r="E74" s="38">
        <f t="shared" si="3"/>
        <v>4.8927900835222227</v>
      </c>
      <c r="F74" s="38">
        <f t="shared" si="4"/>
        <v>-147.42250000000001</v>
      </c>
      <c r="G74" s="50"/>
    </row>
    <row r="75" spans="1:7" s="6" customFormat="1" ht="15" hidden="1" customHeight="1">
      <c r="A75" s="35" t="s">
        <v>62</v>
      </c>
      <c r="B75" s="39" t="s">
        <v>63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64</v>
      </c>
      <c r="B76" s="39" t="s">
        <v>65</v>
      </c>
      <c r="C76" s="49">
        <v>4904.3754200000003</v>
      </c>
      <c r="D76" s="37">
        <v>321.3338</v>
      </c>
      <c r="E76" s="38">
        <f t="shared" si="3"/>
        <v>6.5519821074382589</v>
      </c>
      <c r="F76" s="38">
        <f t="shared" si="4"/>
        <v>-4583.04162</v>
      </c>
    </row>
    <row r="77" spans="1:7">
      <c r="A77" s="35" t="s">
        <v>66</v>
      </c>
      <c r="B77" s="39" t="s">
        <v>67</v>
      </c>
      <c r="C77" s="49">
        <v>20</v>
      </c>
      <c r="D77" s="37">
        <v>0</v>
      </c>
      <c r="E77" s="38">
        <f t="shared" si="3"/>
        <v>0</v>
      </c>
      <c r="F77" s="38">
        <f t="shared" si="4"/>
        <v>-20</v>
      </c>
    </row>
    <row r="78" spans="1:7" s="6" customFormat="1" ht="17.25" customHeight="1">
      <c r="A78" s="30" t="s">
        <v>68</v>
      </c>
      <c r="B78" s="31" t="s">
        <v>69</v>
      </c>
      <c r="C78" s="32">
        <f>SUM(C79:C81)</f>
        <v>439.7285</v>
      </c>
      <c r="D78" s="32">
        <f>SUM(D79:D81)</f>
        <v>13</v>
      </c>
      <c r="E78" s="34">
        <f t="shared" si="3"/>
        <v>2.9563696690116741</v>
      </c>
      <c r="F78" s="34">
        <f t="shared" si="4"/>
        <v>-426.7285</v>
      </c>
    </row>
    <row r="79" spans="1:7" hidden="1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72</v>
      </c>
      <c r="B80" s="51" t="s">
        <v>73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439.7285</v>
      </c>
      <c r="D81" s="37">
        <v>13</v>
      </c>
      <c r="E81" s="38">
        <f t="shared" si="3"/>
        <v>2.9563696690116741</v>
      </c>
      <c r="F81" s="38">
        <f t="shared" si="4"/>
        <v>-426.7285</v>
      </c>
    </row>
    <row r="82" spans="1:6" s="6" customFormat="1">
      <c r="A82" s="30" t="s">
        <v>86</v>
      </c>
      <c r="B82" s="31" t="s">
        <v>87</v>
      </c>
      <c r="C82" s="32">
        <f>C83</f>
        <v>1260.0999999999999</v>
      </c>
      <c r="D82" s="32">
        <f>D83</f>
        <v>305.38799999999998</v>
      </c>
      <c r="E82" s="34">
        <f t="shared" si="3"/>
        <v>24.235219427029602</v>
      </c>
      <c r="F82" s="34">
        <f t="shared" si="4"/>
        <v>-954.71199999999999</v>
      </c>
    </row>
    <row r="83" spans="1:6" ht="40.5" hidden="1" customHeight="1">
      <c r="A83" s="35" t="s">
        <v>88</v>
      </c>
      <c r="B83" s="39" t="s">
        <v>234</v>
      </c>
      <c r="C83" s="37">
        <v>1260.0999999999999</v>
      </c>
      <c r="D83" s="37">
        <v>305.38799999999998</v>
      </c>
      <c r="E83" s="38">
        <f t="shared" si="3"/>
        <v>24.235219427029602</v>
      </c>
      <c r="F83" s="38">
        <f t="shared" si="4"/>
        <v>-954.71199999999999</v>
      </c>
    </row>
    <row r="84" spans="1:6" s="6" customFormat="1" ht="21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24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.5" hidden="1" customHeight="1">
      <c r="A89" s="30" t="s">
        <v>95</v>
      </c>
      <c r="B89" s="31" t="s">
        <v>96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27.75" hidden="1" customHeight="1">
      <c r="A90" s="35" t="s">
        <v>97</v>
      </c>
      <c r="B90" s="39" t="s">
        <v>98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27.7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4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24.7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27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22.5" customHeight="1">
      <c r="A95" s="52">
        <v>1400</v>
      </c>
      <c r="B95" s="56" t="s">
        <v>115</v>
      </c>
      <c r="C95" s="48"/>
      <c r="D95" s="48">
        <v>0</v>
      </c>
      <c r="E95" s="34" t="e">
        <f t="shared" si="3"/>
        <v>#DIV/0!</v>
      </c>
      <c r="F95" s="34">
        <f t="shared" si="4"/>
        <v>0</v>
      </c>
    </row>
    <row r="96" spans="1:6" ht="30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8" customHeight="1">
      <c r="A97" s="30" t="s">
        <v>95</v>
      </c>
      <c r="B97" s="31" t="s">
        <v>96</v>
      </c>
      <c r="C97" s="48">
        <f>C98</f>
        <v>5</v>
      </c>
      <c r="D97" s="32">
        <f>D98</f>
        <v>0</v>
      </c>
      <c r="E97" s="34">
        <f t="shared" si="3"/>
        <v>0</v>
      </c>
      <c r="F97" s="34">
        <f t="shared" si="4"/>
        <v>-5</v>
      </c>
    </row>
    <row r="98" spans="1:8" ht="18" customHeight="1">
      <c r="A98" s="35" t="s">
        <v>97</v>
      </c>
      <c r="B98" s="39" t="s">
        <v>98</v>
      </c>
      <c r="C98" s="49">
        <v>5</v>
      </c>
      <c r="D98" s="37">
        <v>0</v>
      </c>
      <c r="E98" s="38">
        <f t="shared" si="3"/>
        <v>0</v>
      </c>
      <c r="F98" s="38">
        <f t="shared" si="4"/>
        <v>-5</v>
      </c>
    </row>
    <row r="99" spans="1:8" s="6" customFormat="1">
      <c r="A99" s="52"/>
      <c r="B99" s="57" t="s">
        <v>119</v>
      </c>
      <c r="C99" s="375">
        <f>C56+C64+C66+C72+C78+C82+C97+C84</f>
        <v>8096.5230700000011</v>
      </c>
      <c r="D99" s="375">
        <f>D56+D64+D66+D72+D78+D82+D97+D84</f>
        <v>899.25121999999988</v>
      </c>
      <c r="E99" s="34">
        <f t="shared" si="3"/>
        <v>11.106634443270966</v>
      </c>
      <c r="F99" s="34">
        <f t="shared" si="4"/>
        <v>-7197.271850000001</v>
      </c>
      <c r="G99" s="292">
        <f>8096.52307-C99</f>
        <v>0</v>
      </c>
      <c r="H99" s="292">
        <f>899.25122-D99</f>
        <v>0</v>
      </c>
    </row>
    <row r="100" spans="1:8" ht="16.5" customHeight="1">
      <c r="C100" s="126"/>
      <c r="D100" s="101"/>
    </row>
    <row r="101" spans="1:8" s="65" customFormat="1" ht="20.25" customHeight="1">
      <c r="A101" s="63" t="s">
        <v>120</v>
      </c>
      <c r="B101" s="63"/>
      <c r="C101" s="116"/>
      <c r="D101" s="64" t="s">
        <v>275</v>
      </c>
    </row>
    <row r="102" spans="1:8" s="65" customFormat="1" ht="13.5" customHeight="1">
      <c r="A102" s="66" t="s">
        <v>121</v>
      </c>
      <c r="B102" s="66"/>
      <c r="C102" s="65" t="s">
        <v>122</v>
      </c>
    </row>
    <row r="104" spans="1:8" ht="5.25" customHeight="1"/>
  </sheetData>
  <customSheetViews>
    <customSheetView guid="{35821C05-60FE-4C33-8558-8CF10812F6FC}" hiddenRows="1" topLeftCell="A20">
      <selection activeCell="C42" sqref="C42"/>
      <pageMargins left="0.7" right="0.7" top="0.75" bottom="0.75" header="0.3" footer="0.3"/>
      <pageSetup paperSize="9" scale="48" orientation="portrait" r:id="rId1"/>
    </customSheetView>
    <customSheetView guid="{B31C8DB7-3E78-4144-A6B5-8DE36DE63F0E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61528DAC-5C4C-48F4-ADE2-8A724B05A086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B30CE22D-C12F-4E12-8BB9-3AAE0A6991CC}" scale="70" showPageBreaks="1" printArea="1" hiddenRows="1" view="pageBreakPreview" topLeftCell="A27">
      <selection activeCell="D98" sqref="D98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6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9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00"/>
  <sheetViews>
    <sheetView topLeftCell="A18" zoomScaleNormal="100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438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997.29200000000003</v>
      </c>
      <c r="D4" s="5">
        <f>D5+D12+D14+D17+D7</f>
        <v>385.06801999999999</v>
      </c>
      <c r="E4" s="5">
        <f>SUM(D4/C4*100)</f>
        <v>38.611361567123772</v>
      </c>
      <c r="F4" s="5">
        <f>SUM(D4-C4)</f>
        <v>-612.22397999999998</v>
      </c>
    </row>
    <row r="5" spans="1:6" s="6" customFormat="1">
      <c r="A5" s="68">
        <v>1010000000</v>
      </c>
      <c r="B5" s="67" t="s">
        <v>6</v>
      </c>
      <c r="C5" s="5">
        <f>C6</f>
        <v>79.421999999999997</v>
      </c>
      <c r="D5" s="5">
        <f>D6</f>
        <v>4.0829399999999998</v>
      </c>
      <c r="E5" s="5">
        <f t="shared" ref="E5:E49" si="0">SUM(D5/C5*100)</f>
        <v>5.1408174057565912</v>
      </c>
      <c r="F5" s="5">
        <f t="shared" ref="F5:F49" si="1">SUM(D5-C5)</f>
        <v>-75.339060000000003</v>
      </c>
    </row>
    <row r="6" spans="1:6">
      <c r="A6" s="7">
        <v>1010200001</v>
      </c>
      <c r="B6" s="8" t="s">
        <v>229</v>
      </c>
      <c r="C6" s="9">
        <v>79.421999999999997</v>
      </c>
      <c r="D6" s="10">
        <v>4.0829399999999998</v>
      </c>
      <c r="E6" s="9">
        <f t="shared" ref="E6:E11" si="2">SUM(D6/C6*100)</f>
        <v>5.1408174057565912</v>
      </c>
      <c r="F6" s="9">
        <f t="shared" si="1"/>
        <v>-75.339060000000003</v>
      </c>
    </row>
    <row r="7" spans="1:6" ht="31.5">
      <c r="A7" s="3">
        <v>1030000000</v>
      </c>
      <c r="B7" s="13" t="s">
        <v>281</v>
      </c>
      <c r="C7" s="5">
        <f>C8+C10+C9</f>
        <v>331.87</v>
      </c>
      <c r="D7" s="5">
        <f>D8+D10+D9+D11</f>
        <v>97.392130000000009</v>
      </c>
      <c r="E7" s="5">
        <f t="shared" si="2"/>
        <v>29.34647000331455</v>
      </c>
      <c r="F7" s="5">
        <f t="shared" si="1"/>
        <v>-234.47787</v>
      </c>
    </row>
    <row r="8" spans="1:6">
      <c r="A8" s="7">
        <v>1030223001</v>
      </c>
      <c r="B8" s="8" t="s">
        <v>283</v>
      </c>
      <c r="C8" s="9">
        <v>123.79</v>
      </c>
      <c r="D8" s="10">
        <v>42.783670000000001</v>
      </c>
      <c r="E8" s="9">
        <f t="shared" si="2"/>
        <v>34.561491235156311</v>
      </c>
      <c r="F8" s="9">
        <f t="shared" si="1"/>
        <v>-81.006330000000005</v>
      </c>
    </row>
    <row r="9" spans="1:6">
      <c r="A9" s="7">
        <v>1030224001</v>
      </c>
      <c r="B9" s="8" t="s">
        <v>289</v>
      </c>
      <c r="C9" s="9">
        <v>1.33</v>
      </c>
      <c r="D9" s="10">
        <v>0.29892999999999997</v>
      </c>
      <c r="E9" s="9">
        <f t="shared" si="2"/>
        <v>22.475939849624059</v>
      </c>
      <c r="F9" s="9">
        <f t="shared" si="1"/>
        <v>-1.0310700000000002</v>
      </c>
    </row>
    <row r="10" spans="1:6">
      <c r="A10" s="7">
        <v>1030225001</v>
      </c>
      <c r="B10" s="8" t="s">
        <v>282</v>
      </c>
      <c r="C10" s="9">
        <v>206.75</v>
      </c>
      <c r="D10" s="10">
        <v>62.729680000000002</v>
      </c>
      <c r="E10" s="9">
        <f t="shared" si="2"/>
        <v>30.340836759371221</v>
      </c>
      <c r="F10" s="9">
        <f t="shared" si="1"/>
        <v>-144.02032</v>
      </c>
    </row>
    <row r="11" spans="1:6">
      <c r="A11" s="7">
        <v>1030226001</v>
      </c>
      <c r="B11" s="8" t="s">
        <v>291</v>
      </c>
      <c r="C11" s="9">
        <v>0</v>
      </c>
      <c r="D11" s="10">
        <v>-8.4201499999999996</v>
      </c>
      <c r="E11" s="9" t="e">
        <f t="shared" si="2"/>
        <v>#DIV/0!</v>
      </c>
      <c r="F11" s="9">
        <f t="shared" si="1"/>
        <v>-8.4201499999999996</v>
      </c>
    </row>
    <row r="12" spans="1:6" s="6" customFormat="1">
      <c r="A12" s="68">
        <v>1050000000</v>
      </c>
      <c r="B12" s="67" t="s">
        <v>7</v>
      </c>
      <c r="C12" s="5">
        <f>SUM(C13:C13)</f>
        <v>5</v>
      </c>
      <c r="D12" s="5">
        <f>SUM(D13:D13)</f>
        <v>1.6605000000000001</v>
      </c>
      <c r="E12" s="5">
        <f t="shared" si="0"/>
        <v>33.21</v>
      </c>
      <c r="F12" s="5">
        <f t="shared" si="1"/>
        <v>-3.3395000000000001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1.6605000000000001</v>
      </c>
      <c r="E13" s="9">
        <f t="shared" si="0"/>
        <v>33.21</v>
      </c>
      <c r="F13" s="9">
        <f t="shared" si="1"/>
        <v>-3.3395000000000001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571</v>
      </c>
      <c r="D14" s="5">
        <f>D15+D16</f>
        <v>280.53244999999998</v>
      </c>
      <c r="E14" s="5">
        <f t="shared" si="0"/>
        <v>49.130026269702277</v>
      </c>
      <c r="F14" s="5">
        <f t="shared" si="1"/>
        <v>-290.46755000000002</v>
      </c>
    </row>
    <row r="15" spans="1:6" s="6" customFormat="1" ht="15.75" customHeight="1">
      <c r="A15" s="7">
        <v>1060100000</v>
      </c>
      <c r="B15" s="11" t="s">
        <v>9</v>
      </c>
      <c r="C15" s="9">
        <v>179</v>
      </c>
      <c r="D15" s="10">
        <v>242.38261</v>
      </c>
      <c r="E15" s="9">
        <f t="shared" si="0"/>
        <v>135.40927932960892</v>
      </c>
      <c r="F15" s="9">
        <f>SUM(D15-C15)</f>
        <v>63.38261</v>
      </c>
    </row>
    <row r="16" spans="1:6" ht="15.75" customHeight="1">
      <c r="A16" s="7">
        <v>1060600000</v>
      </c>
      <c r="B16" s="11" t="s">
        <v>8</v>
      </c>
      <c r="C16" s="9">
        <v>392</v>
      </c>
      <c r="D16" s="10">
        <v>38.149839999999998</v>
      </c>
      <c r="E16" s="9">
        <f t="shared" si="0"/>
        <v>9.7321020408163257</v>
      </c>
      <c r="F16" s="9">
        <f t="shared" si="1"/>
        <v>-353.85016000000002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1.4</v>
      </c>
      <c r="E17" s="5">
        <f t="shared" si="0"/>
        <v>13.999999999999998</v>
      </c>
      <c r="F17" s="5">
        <f t="shared" si="1"/>
        <v>-8.6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1.4</v>
      </c>
      <c r="E18" s="9">
        <f t="shared" si="0"/>
        <v>13.999999999999998</v>
      </c>
      <c r="F18" s="9">
        <f t="shared" si="1"/>
        <v>-8.6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32</v>
      </c>
      <c r="D25" s="5">
        <f>D27+D29+D34</f>
        <v>1.8445800000000001</v>
      </c>
      <c r="E25" s="5">
        <f t="shared" si="0"/>
        <v>5.7643125</v>
      </c>
      <c r="F25" s="5">
        <f t="shared" si="1"/>
        <v>-30.155419999999999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32</v>
      </c>
      <c r="D26" s="5">
        <f>D27</f>
        <v>1.8445800000000001</v>
      </c>
      <c r="E26" s="5">
        <f t="shared" si="0"/>
        <v>5.7643125</v>
      </c>
      <c r="F26" s="5">
        <f t="shared" si="1"/>
        <v>-30.155419999999999</v>
      </c>
    </row>
    <row r="27" spans="1:6" ht="17.25" customHeight="1">
      <c r="A27" s="16">
        <v>1110502510</v>
      </c>
      <c r="B27" s="17" t="s">
        <v>226</v>
      </c>
      <c r="C27" s="12">
        <v>32</v>
      </c>
      <c r="D27" s="10">
        <v>1.8445800000000001</v>
      </c>
      <c r="E27" s="9">
        <f t="shared" si="0"/>
        <v>5.7643125</v>
      </c>
      <c r="F27" s="9">
        <f t="shared" si="1"/>
        <v>-30.155419999999999</v>
      </c>
    </row>
    <row r="28" spans="1:6" ht="0.7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1029.2919999999999</v>
      </c>
      <c r="D37" s="399">
        <f>D4+D25</f>
        <v>386.9126</v>
      </c>
      <c r="E37" s="5">
        <f t="shared" si="0"/>
        <v>37.590168776207342</v>
      </c>
      <c r="F37" s="5">
        <f t="shared" si="1"/>
        <v>-642.37939999999992</v>
      </c>
    </row>
    <row r="38" spans="1:7" s="6" customFormat="1">
      <c r="A38" s="3">
        <v>2000000000</v>
      </c>
      <c r="B38" s="4" t="s">
        <v>20</v>
      </c>
      <c r="C38" s="389">
        <f>C39+C41+C42+C43+C44+C45</f>
        <v>4001.9576300000003</v>
      </c>
      <c r="D38" s="341">
        <f>D39+D41+D42+D43+D45</f>
        <v>503.53119999999996</v>
      </c>
      <c r="E38" s="5">
        <f t="shared" si="0"/>
        <v>12.582122215022048</v>
      </c>
      <c r="F38" s="5">
        <f t="shared" si="1"/>
        <v>-3498.4264300000004</v>
      </c>
      <c r="G38" s="19"/>
    </row>
    <row r="39" spans="1:7" ht="14.25" customHeight="1">
      <c r="A39" s="16">
        <v>2021000000</v>
      </c>
      <c r="B39" s="17" t="s">
        <v>21</v>
      </c>
      <c r="C39" s="99">
        <v>1275.4000000000001</v>
      </c>
      <c r="D39" s="99">
        <v>318.84899999999999</v>
      </c>
      <c r="E39" s="9">
        <f t="shared" si="0"/>
        <v>24.99992159322565</v>
      </c>
      <c r="F39" s="9">
        <f t="shared" si="1"/>
        <v>-956.55100000000016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90</v>
      </c>
      <c r="D41" s="20">
        <v>22.5</v>
      </c>
      <c r="E41" s="9">
        <f t="shared" si="0"/>
        <v>25</v>
      </c>
      <c r="F41" s="9">
        <f t="shared" si="1"/>
        <v>-67.5</v>
      </c>
    </row>
    <row r="42" spans="1:7">
      <c r="A42" s="16">
        <v>2022000000</v>
      </c>
      <c r="B42" s="17" t="s">
        <v>22</v>
      </c>
      <c r="C42" s="99">
        <v>1537.9304299999999</v>
      </c>
      <c r="D42" s="10">
        <v>133.76</v>
      </c>
      <c r="E42" s="9">
        <f t="shared" si="0"/>
        <v>8.6974025216472235</v>
      </c>
      <c r="F42" s="9">
        <f t="shared" si="1"/>
        <v>-1404.1704299999999</v>
      </c>
    </row>
    <row r="43" spans="1:7" ht="17.25" customHeight="1">
      <c r="A43" s="16">
        <v>2023000000</v>
      </c>
      <c r="B43" s="17" t="s">
        <v>23</v>
      </c>
      <c r="C43" s="12">
        <v>92.456000000000003</v>
      </c>
      <c r="D43" s="250">
        <v>22.251000000000001</v>
      </c>
      <c r="E43" s="9">
        <f t="shared" si="0"/>
        <v>24.066583023275935</v>
      </c>
      <c r="F43" s="9">
        <f t="shared" si="1"/>
        <v>-70.204999999999998</v>
      </c>
    </row>
    <row r="44" spans="1:7" ht="0.75" hidden="1" customHeight="1">
      <c r="A44" s="16">
        <v>2020400000</v>
      </c>
      <c r="B44" s="17" t="s">
        <v>24</v>
      </c>
      <c r="C44" s="12">
        <v>1000</v>
      </c>
      <c r="D44" s="251">
        <v>0</v>
      </c>
      <c r="E44" s="9">
        <f t="shared" si="0"/>
        <v>0</v>
      </c>
      <c r="F44" s="9">
        <f t="shared" si="1"/>
        <v>-1000</v>
      </c>
    </row>
    <row r="45" spans="1:7" ht="14.25" customHeight="1">
      <c r="A45" s="16">
        <v>2070500010</v>
      </c>
      <c r="B45" s="8" t="s">
        <v>353</v>
      </c>
      <c r="C45" s="12">
        <v>6.1711999999999998</v>
      </c>
      <c r="D45" s="251">
        <v>6.1711999999999998</v>
      </c>
      <c r="E45" s="9">
        <f t="shared" si="0"/>
        <v>100</v>
      </c>
      <c r="F45" s="9">
        <f t="shared" si="1"/>
        <v>0</v>
      </c>
    </row>
    <row r="46" spans="1:7" ht="14.2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customHeight="1">
      <c r="A47" s="3">
        <v>3000000000</v>
      </c>
      <c r="B47" s="13" t="s">
        <v>27</v>
      </c>
      <c r="C47" s="27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customHeight="1">
      <c r="A48" s="3">
        <v>2190500010</v>
      </c>
      <c r="B48" s="13" t="s">
        <v>326</v>
      </c>
      <c r="C48" s="276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376">
        <f>C37+C38</f>
        <v>5031.2496300000003</v>
      </c>
      <c r="D49" s="376">
        <f>D37+D38</f>
        <v>890.44380000000001</v>
      </c>
      <c r="E49" s="5">
        <f t="shared" si="0"/>
        <v>17.698263164890907</v>
      </c>
      <c r="F49" s="5">
        <f t="shared" si="1"/>
        <v>-4140.8058300000002</v>
      </c>
      <c r="G49" s="292">
        <f>5031.24963-C49</f>
        <v>0</v>
      </c>
      <c r="H49" s="368">
        <f>837.6438-D49</f>
        <v>-52.799999999999955</v>
      </c>
    </row>
    <row r="50" spans="1:8" s="6" customFormat="1" ht="15.75" customHeight="1">
      <c r="A50" s="3"/>
      <c r="B50" s="21" t="s">
        <v>321</v>
      </c>
      <c r="C50" s="279">
        <f>C49-C96</f>
        <v>-283.55249999999978</v>
      </c>
      <c r="D50" s="279">
        <f>D49-D96</f>
        <v>348.07460000000003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7" t="s">
        <v>412</v>
      </c>
      <c r="D52" s="73" t="s">
        <v>419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992.09100000000001</v>
      </c>
      <c r="D54" s="33">
        <f>D56+D61</f>
        <v>179.80775999999997</v>
      </c>
      <c r="E54" s="34">
        <f>SUM(D54/C54*100)</f>
        <v>18.124119662409999</v>
      </c>
      <c r="F54" s="34">
        <f>SUM(D54-C54)</f>
        <v>-812.28323999999998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984.4</v>
      </c>
      <c r="D56" s="37">
        <v>177.11725999999999</v>
      </c>
      <c r="E56" s="38">
        <f>SUM(D56/C56*100)</f>
        <v>17.992407557903288</v>
      </c>
      <c r="F56" s="38">
        <f t="shared" ref="F56:F96" si="3">SUM(D56-C56)</f>
        <v>-807.28273999999999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2.6909999999999998</v>
      </c>
      <c r="D61" s="37">
        <v>2.6905000000000001</v>
      </c>
      <c r="E61" s="38">
        <f t="shared" si="4"/>
        <v>99.981419546636957</v>
      </c>
      <c r="F61" s="38">
        <f t="shared" si="3"/>
        <v>-4.9999999999972289E-4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89.944999999999993</v>
      </c>
      <c r="D62" s="32">
        <f>D63</f>
        <v>16.690000000000001</v>
      </c>
      <c r="E62" s="34">
        <f t="shared" si="4"/>
        <v>18.555784090277395</v>
      </c>
      <c r="F62" s="34">
        <f t="shared" si="3"/>
        <v>-73.254999999999995</v>
      </c>
    </row>
    <row r="63" spans="1:8" ht="17.850000000000001" customHeight="1">
      <c r="A63" s="43" t="s">
        <v>48</v>
      </c>
      <c r="B63" s="44" t="s">
        <v>49</v>
      </c>
      <c r="C63" s="37">
        <v>89.944999999999993</v>
      </c>
      <c r="D63" s="37">
        <v>16.690000000000001</v>
      </c>
      <c r="E63" s="38">
        <f t="shared" si="4"/>
        <v>18.555784090277395</v>
      </c>
      <c r="F63" s="38">
        <f t="shared" si="3"/>
        <v>-73.254999999999995</v>
      </c>
    </row>
    <row r="64" spans="1:8" s="6" customFormat="1" ht="17.25" customHeight="1">
      <c r="A64" s="30" t="s">
        <v>50</v>
      </c>
      <c r="B64" s="31" t="s">
        <v>51</v>
      </c>
      <c r="C64" s="32">
        <f>C67+C68+C69</f>
        <v>6</v>
      </c>
      <c r="D64" s="32">
        <f>SUM(D65:D67)</f>
        <v>0</v>
      </c>
      <c r="E64" s="34">
        <f t="shared" si="4"/>
        <v>0</v>
      </c>
      <c r="F64" s="34">
        <f t="shared" si="3"/>
        <v>-6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358</v>
      </c>
      <c r="B69" s="47" t="s">
        <v>361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58</v>
      </c>
      <c r="B70" s="31" t="s">
        <v>59</v>
      </c>
      <c r="C70" s="48">
        <f>SUM(C71:C74)</f>
        <v>2148.5418299999997</v>
      </c>
      <c r="D70" s="48">
        <f>D71+D72+D73+D74</f>
        <v>106.94</v>
      </c>
      <c r="E70" s="34">
        <f t="shared" si="4"/>
        <v>4.9773292056408325</v>
      </c>
      <c r="F70" s="34">
        <f t="shared" si="3"/>
        <v>-2041.6018299999996</v>
      </c>
    </row>
    <row r="71" spans="1:7" ht="16.5" customHeight="1">
      <c r="A71" s="35" t="s">
        <v>60</v>
      </c>
      <c r="B71" s="39" t="s">
        <v>61</v>
      </c>
      <c r="C71" s="49">
        <v>6.7024999999999997</v>
      </c>
      <c r="D71" s="37">
        <v>0</v>
      </c>
      <c r="E71" s="38">
        <f t="shared" si="4"/>
        <v>0</v>
      </c>
      <c r="F71" s="38">
        <f t="shared" si="3"/>
        <v>-6.7024999999999997</v>
      </c>
    </row>
    <row r="72" spans="1:7" s="6" customFormat="1" ht="19.5" customHeight="1">
      <c r="A72" s="35" t="s">
        <v>62</v>
      </c>
      <c r="B72" s="39" t="s">
        <v>63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64</v>
      </c>
      <c r="B73" s="39" t="s">
        <v>65</v>
      </c>
      <c r="C73" s="49">
        <v>2101.8393299999998</v>
      </c>
      <c r="D73" s="37">
        <v>102.44</v>
      </c>
      <c r="E73" s="38">
        <f t="shared" si="4"/>
        <v>4.873826392809959</v>
      </c>
      <c r="F73" s="38">
        <f t="shared" si="3"/>
        <v>-1999.3993299999997</v>
      </c>
    </row>
    <row r="74" spans="1:7" ht="15.75" customHeight="1">
      <c r="A74" s="35" t="s">
        <v>66</v>
      </c>
      <c r="B74" s="39" t="s">
        <v>67</v>
      </c>
      <c r="C74" s="49">
        <v>40</v>
      </c>
      <c r="D74" s="37">
        <v>4.5</v>
      </c>
      <c r="E74" s="38">
        <f t="shared" si="4"/>
        <v>11.25</v>
      </c>
      <c r="F74" s="38">
        <f t="shared" si="3"/>
        <v>-35.5</v>
      </c>
    </row>
    <row r="75" spans="1:7" s="6" customFormat="1" ht="18" customHeight="1">
      <c r="A75" s="30" t="s">
        <v>68</v>
      </c>
      <c r="B75" s="31" t="s">
        <v>69</v>
      </c>
      <c r="C75" s="32">
        <f>SUM(C76:C78)</f>
        <v>210.52430000000001</v>
      </c>
      <c r="D75" s="32">
        <f>D78</f>
        <v>20.931439999999998</v>
      </c>
      <c r="E75" s="34">
        <f t="shared" si="4"/>
        <v>9.9425291997170859</v>
      </c>
      <c r="F75" s="34">
        <f t="shared" si="3"/>
        <v>-189.59286</v>
      </c>
    </row>
    <row r="76" spans="1:7" ht="15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customHeight="1">
      <c r="A77" s="35" t="s">
        <v>72</v>
      </c>
      <c r="B77" s="51" t="s">
        <v>73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74</v>
      </c>
      <c r="B78" s="39" t="s">
        <v>75</v>
      </c>
      <c r="C78" s="37">
        <v>210.52430000000001</v>
      </c>
      <c r="D78" s="37">
        <v>20.931439999999998</v>
      </c>
      <c r="E78" s="38">
        <f t="shared" si="4"/>
        <v>9.9425291997170859</v>
      </c>
      <c r="F78" s="38">
        <f t="shared" si="3"/>
        <v>-189.59286</v>
      </c>
    </row>
    <row r="79" spans="1:7" s="6" customFormat="1" ht="17.850000000000001" customHeight="1">
      <c r="A79" s="30" t="s">
        <v>86</v>
      </c>
      <c r="B79" s="31" t="s">
        <v>87</v>
      </c>
      <c r="C79" s="32">
        <f>C80</f>
        <v>1863.7</v>
      </c>
      <c r="D79" s="32">
        <f>D80</f>
        <v>216</v>
      </c>
      <c r="E79" s="34">
        <f t="shared" si="4"/>
        <v>11.589848151526533</v>
      </c>
      <c r="F79" s="34">
        <f t="shared" si="3"/>
        <v>-1647.7</v>
      </c>
    </row>
    <row r="80" spans="1:7" ht="15" customHeight="1">
      <c r="A80" s="35" t="s">
        <v>88</v>
      </c>
      <c r="B80" s="39" t="s">
        <v>234</v>
      </c>
      <c r="C80" s="37">
        <v>1863.7</v>
      </c>
      <c r="D80" s="37">
        <v>216</v>
      </c>
      <c r="E80" s="38">
        <f t="shared" si="4"/>
        <v>11.589848151526533</v>
      </c>
      <c r="F80" s="38">
        <f t="shared" si="3"/>
        <v>-1647.7</v>
      </c>
    </row>
    <row r="81" spans="1:8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95</v>
      </c>
      <c r="B86" s="31" t="s">
        <v>96</v>
      </c>
      <c r="C86" s="32">
        <f>C87+C88+C89+C90+C91</f>
        <v>4</v>
      </c>
      <c r="D86" s="32">
        <f>D87+D88+D89+D90+D91</f>
        <v>2</v>
      </c>
      <c r="E86" s="38">
        <f t="shared" si="4"/>
        <v>50</v>
      </c>
      <c r="F86" s="22">
        <f>F87+F88+F89+F90+F91</f>
        <v>-2</v>
      </c>
    </row>
    <row r="87" spans="1:8" ht="17.25" customHeight="1">
      <c r="A87" s="35" t="s">
        <v>97</v>
      </c>
      <c r="B87" s="39" t="s">
        <v>98</v>
      </c>
      <c r="C87" s="37">
        <v>4</v>
      </c>
      <c r="D87" s="37">
        <v>2</v>
      </c>
      <c r="E87" s="38">
        <f t="shared" si="4"/>
        <v>50</v>
      </c>
      <c r="F87" s="38">
        <f>SUM(D87-C87)</f>
        <v>-2</v>
      </c>
    </row>
    <row r="88" spans="1:8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117</v>
      </c>
      <c r="C94" s="238"/>
      <c r="D94" s="239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119</v>
      </c>
      <c r="C96" s="378">
        <f>C54+C62+C64+C70+C75+C79+C81+C86+C92</f>
        <v>5314.80213</v>
      </c>
      <c r="D96" s="378">
        <f>D54+D62+D64+D70+D75+D79+D86</f>
        <v>542.36919999999998</v>
      </c>
      <c r="E96" s="34">
        <f t="shared" si="4"/>
        <v>10.204880383759459</v>
      </c>
      <c r="F96" s="34">
        <f t="shared" si="3"/>
        <v>-4772.4329299999999</v>
      </c>
      <c r="G96" s="368">
        <f>5314.80213-C96</f>
        <v>0</v>
      </c>
      <c r="H96" s="368">
        <f>542.3692-D96</f>
        <v>0</v>
      </c>
    </row>
    <row r="97" spans="1:4" ht="20.25" customHeight="1">
      <c r="C97" s="126"/>
      <c r="D97" s="101"/>
    </row>
    <row r="98" spans="1:4" s="65" customFormat="1" ht="13.5" customHeight="1">
      <c r="A98" s="63" t="s">
        <v>120</v>
      </c>
      <c r="B98" s="63"/>
      <c r="C98" s="116"/>
      <c r="D98" s="64"/>
    </row>
    <row r="99" spans="1:4" s="65" customFormat="1" ht="12.75">
      <c r="A99" s="66" t="s">
        <v>121</v>
      </c>
      <c r="B99" s="66"/>
      <c r="C99" s="134" t="s">
        <v>122</v>
      </c>
      <c r="D99" s="134"/>
    </row>
    <row r="100" spans="1:4" ht="5.25" customHeight="1">
      <c r="C100" s="120"/>
    </row>
  </sheetData>
  <customSheetViews>
    <customSheetView guid="{35821C05-60FE-4C33-8558-8CF10812F6FC}" hiddenRows="1" topLeftCell="A18">
      <selection activeCell="C43" sqref="C43"/>
      <pageMargins left="0.7" right="0.7" top="0.75" bottom="0.75" header="0.3" footer="0.3"/>
      <pageSetup paperSize="9" scale="60" orientation="portrait" r:id="rId1"/>
    </customSheetView>
    <customSheetView guid="{B31C8DB7-3E78-4144-A6B5-8DE36DE63F0E}" hiddenRows="1" topLeftCell="A18">
      <selection activeCell="D45" sqref="D45"/>
      <pageMargins left="0.7" right="0.7" top="0.75" bottom="0.75" header="0.3" footer="0.3"/>
      <pageSetup paperSize="9" scale="60" orientation="portrait" r:id="rId2"/>
    </customSheetView>
    <customSheetView guid="{61528DAC-5C4C-48F4-ADE2-8A724B05A086}" scale="70" showPageBreaks="1" hiddenRows="1" view="pageBreakPreview" topLeftCell="A4">
      <selection activeCell="D95" sqref="D95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13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6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9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04"/>
  <sheetViews>
    <sheetView topLeftCell="A5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429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1026.2959999999998</v>
      </c>
      <c r="D4" s="5">
        <f>D5+D12+D14+D17+D20+D7</f>
        <v>178.32324999999997</v>
      </c>
      <c r="E4" s="5">
        <f>SUM(D4/C4*100)</f>
        <v>17.375420931193343</v>
      </c>
      <c r="F4" s="5">
        <f>SUM(D4-C4)</f>
        <v>-847.97274999999991</v>
      </c>
    </row>
    <row r="5" spans="1:6" s="6" customFormat="1">
      <c r="A5" s="68">
        <v>1010000000</v>
      </c>
      <c r="B5" s="67" t="s">
        <v>6</v>
      </c>
      <c r="C5" s="5">
        <f>C6</f>
        <v>86.510999999999996</v>
      </c>
      <c r="D5" s="5">
        <f>D6</f>
        <v>19.645399999999999</v>
      </c>
      <c r="E5" s="5">
        <f t="shared" ref="E5:E51" si="0">SUM(D5/C5*100)</f>
        <v>22.708557293292181</v>
      </c>
      <c r="F5" s="5">
        <f t="shared" ref="F5:F51" si="1">SUM(D5-C5)</f>
        <v>-66.865600000000001</v>
      </c>
    </row>
    <row r="6" spans="1:6">
      <c r="A6" s="7">
        <v>1010200001</v>
      </c>
      <c r="B6" s="8" t="s">
        <v>229</v>
      </c>
      <c r="C6" s="9">
        <v>86.510999999999996</v>
      </c>
      <c r="D6" s="10">
        <v>19.645399999999999</v>
      </c>
      <c r="E6" s="9">
        <f t="shared" ref="E6:E11" si="2">SUM(D6/C6*100)</f>
        <v>22.708557293292181</v>
      </c>
      <c r="F6" s="9">
        <f t="shared" si="1"/>
        <v>-66.865600000000001</v>
      </c>
    </row>
    <row r="7" spans="1:6" ht="31.5">
      <c r="A7" s="3">
        <v>1030000000</v>
      </c>
      <c r="B7" s="13" t="s">
        <v>281</v>
      </c>
      <c r="C7" s="5">
        <f>C8+C10+C9</f>
        <v>316.78499999999997</v>
      </c>
      <c r="D7" s="5">
        <f>D8+D10+D9+D11</f>
        <v>92.965209999999985</v>
      </c>
      <c r="E7" s="9">
        <f t="shared" si="2"/>
        <v>29.346468424956988</v>
      </c>
      <c r="F7" s="9">
        <f t="shared" si="1"/>
        <v>-223.81978999999998</v>
      </c>
    </row>
    <row r="8" spans="1:6">
      <c r="A8" s="7">
        <v>1030223001</v>
      </c>
      <c r="B8" s="8" t="s">
        <v>283</v>
      </c>
      <c r="C8" s="9">
        <v>118.16</v>
      </c>
      <c r="D8" s="10">
        <v>40.838949999999997</v>
      </c>
      <c r="E8" s="9">
        <f t="shared" si="2"/>
        <v>34.562415368991196</v>
      </c>
      <c r="F8" s="9">
        <f t="shared" si="1"/>
        <v>-77.32105</v>
      </c>
    </row>
    <row r="9" spans="1:6">
      <c r="A9" s="7">
        <v>1030224001</v>
      </c>
      <c r="B9" s="8" t="s">
        <v>289</v>
      </c>
      <c r="C9" s="9">
        <v>1.2649999999999999</v>
      </c>
      <c r="D9" s="10">
        <v>0.28534999999999999</v>
      </c>
      <c r="E9" s="9">
        <f t="shared" si="2"/>
        <v>22.557312252964429</v>
      </c>
      <c r="F9" s="9">
        <f t="shared" si="1"/>
        <v>-0.97964999999999991</v>
      </c>
    </row>
    <row r="10" spans="1:6">
      <c r="A10" s="7">
        <v>1030225001</v>
      </c>
      <c r="B10" s="8" t="s">
        <v>282</v>
      </c>
      <c r="C10" s="9">
        <v>197.36</v>
      </c>
      <c r="D10" s="10">
        <v>59.878340000000001</v>
      </c>
      <c r="E10" s="9">
        <f t="shared" si="2"/>
        <v>30.339653425212809</v>
      </c>
      <c r="F10" s="9">
        <f t="shared" si="1"/>
        <v>-137.48166000000001</v>
      </c>
    </row>
    <row r="11" spans="1:6">
      <c r="A11" s="7">
        <v>1030226001</v>
      </c>
      <c r="B11" s="8" t="s">
        <v>291</v>
      </c>
      <c r="C11" s="9">
        <v>0</v>
      </c>
      <c r="D11" s="10">
        <v>-8.0374300000000005</v>
      </c>
      <c r="E11" s="9" t="e">
        <f t="shared" si="2"/>
        <v>#DIV/0!</v>
      </c>
      <c r="F11" s="9">
        <f t="shared" si="1"/>
        <v>-8.0374300000000005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20.793299999999999</v>
      </c>
      <c r="E12" s="5">
        <f t="shared" si="0"/>
        <v>31.989692307692309</v>
      </c>
      <c r="F12" s="5">
        <f t="shared" si="1"/>
        <v>-44.206699999999998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20.793299999999999</v>
      </c>
      <c r="E13" s="9">
        <f t="shared" si="0"/>
        <v>31.989692307692309</v>
      </c>
      <c r="F13" s="9">
        <f t="shared" si="1"/>
        <v>-44.206699999999998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548</v>
      </c>
      <c r="D14" s="5">
        <f>D15+D16</f>
        <v>43.76934</v>
      </c>
      <c r="E14" s="9">
        <f t="shared" si="0"/>
        <v>7.987105839416059</v>
      </c>
      <c r="F14" s="9">
        <f t="shared" si="1"/>
        <v>-504.23066</v>
      </c>
    </row>
    <row r="15" spans="1:6" s="6" customFormat="1" ht="15.75" customHeight="1">
      <c r="A15" s="7">
        <v>1060100000</v>
      </c>
      <c r="B15" s="11" t="s">
        <v>9</v>
      </c>
      <c r="C15" s="277">
        <v>88</v>
      </c>
      <c r="D15" s="10">
        <v>3.6108199999999999</v>
      </c>
      <c r="E15" s="9">
        <f>SUM(D15/C15*100)</f>
        <v>4.1032045454545454</v>
      </c>
      <c r="F15" s="9">
        <f>SUM(D15-C14)</f>
        <v>-544.38918000000001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40.158520000000003</v>
      </c>
      <c r="E16" s="9">
        <f t="shared" si="0"/>
        <v>8.7301130434782621</v>
      </c>
      <c r="F16" s="9">
        <f t="shared" si="1"/>
        <v>-419.84147999999999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1.1499999999999999</v>
      </c>
      <c r="E17" s="5">
        <f t="shared" si="0"/>
        <v>11.5</v>
      </c>
      <c r="F17" s="5">
        <f t="shared" si="1"/>
        <v>-8.85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1.1499999999999999</v>
      </c>
      <c r="E18" s="9">
        <f t="shared" si="0"/>
        <v>11.5</v>
      </c>
      <c r="F18" s="9">
        <f t="shared" si="1"/>
        <v>-8.85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55</v>
      </c>
      <c r="D25" s="5">
        <f>D26+D29+D31+D37-D34</f>
        <v>3.59538</v>
      </c>
      <c r="E25" s="5">
        <f t="shared" si="0"/>
        <v>6.5370545454545459</v>
      </c>
      <c r="F25" s="5">
        <f t="shared" si="1"/>
        <v>-51.404620000000001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15.75" customHeight="1">
      <c r="A27" s="16">
        <v>1110502510</v>
      </c>
      <c r="B27" s="17" t="s">
        <v>226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 ht="17.2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3.59538</v>
      </c>
      <c r="E29" s="5" t="e">
        <f t="shared" si="0"/>
        <v>#DIV/0!</v>
      </c>
      <c r="F29" s="5">
        <f t="shared" si="1"/>
        <v>3.59538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3.59538</v>
      </c>
      <c r="E30" s="9" t="e">
        <f t="shared" si="0"/>
        <v>#DIV/0!</v>
      </c>
      <c r="F30" s="9">
        <f t="shared" si="1"/>
        <v>3.59538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1081.2959999999998</v>
      </c>
      <c r="D40" s="127">
        <f>D4+D25</f>
        <v>181.91862999999998</v>
      </c>
      <c r="E40" s="5">
        <f t="shared" si="0"/>
        <v>16.824128638226721</v>
      </c>
      <c r="F40" s="5">
        <f t="shared" si="1"/>
        <v>-899.37736999999981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4902.6190999999999</v>
      </c>
      <c r="D41" s="5">
        <f>D42+D44+D45+D46+D47+D48+D43+D50</f>
        <v>984.96599999999989</v>
      </c>
      <c r="E41" s="5">
        <f t="shared" si="0"/>
        <v>20.090608303631011</v>
      </c>
      <c r="F41" s="5">
        <f t="shared" si="1"/>
        <v>-3917.6531</v>
      </c>
      <c r="G41" s="19"/>
    </row>
    <row r="42" spans="1:7" ht="16.5" customHeight="1">
      <c r="A42" s="16">
        <v>2021000000</v>
      </c>
      <c r="B42" s="17" t="s">
        <v>21</v>
      </c>
      <c r="C42" s="12">
        <v>1969.9</v>
      </c>
      <c r="D42" s="12">
        <v>492.47399999999999</v>
      </c>
      <c r="E42" s="9">
        <f t="shared" si="0"/>
        <v>24.999949236001825</v>
      </c>
      <c r="F42" s="9">
        <f t="shared" si="1"/>
        <v>-1477.4260000000002</v>
      </c>
    </row>
    <row r="43" spans="1:7" ht="17.25" customHeight="1">
      <c r="A43" s="16">
        <v>2021500200</v>
      </c>
      <c r="B43" s="17" t="s">
        <v>232</v>
      </c>
      <c r="C43" s="12">
        <v>650</v>
      </c>
      <c r="D43" s="20">
        <v>0</v>
      </c>
      <c r="E43" s="9">
        <f t="shared" si="0"/>
        <v>0</v>
      </c>
      <c r="F43" s="9">
        <f t="shared" si="1"/>
        <v>-650</v>
      </c>
    </row>
    <row r="44" spans="1:7">
      <c r="A44" s="16">
        <v>2022000000</v>
      </c>
      <c r="B44" s="17" t="s">
        <v>22</v>
      </c>
      <c r="C44" s="12">
        <v>1825.30438</v>
      </c>
      <c r="D44" s="10">
        <v>140.80000000000001</v>
      </c>
      <c r="E44" s="9">
        <f>SUM(D44/C44*100)</f>
        <v>7.713781961121466</v>
      </c>
      <c r="F44" s="9">
        <f t="shared" si="1"/>
        <v>-1684.5043800000001</v>
      </c>
    </row>
    <row r="45" spans="1:7" ht="15" customHeight="1">
      <c r="A45" s="16">
        <v>2023000000</v>
      </c>
      <c r="B45" s="17" t="s">
        <v>23</v>
      </c>
      <c r="C45" s="12">
        <v>92.710999999999999</v>
      </c>
      <c r="D45" s="250">
        <v>22.251000000000001</v>
      </c>
      <c r="E45" s="9">
        <f t="shared" si="0"/>
        <v>24.000388303437568</v>
      </c>
      <c r="F45" s="9">
        <f t="shared" si="1"/>
        <v>-70.459999999999994</v>
      </c>
    </row>
    <row r="46" spans="1:7">
      <c r="A46" s="16">
        <v>2020400000</v>
      </c>
      <c r="B46" s="17" t="s">
        <v>24</v>
      </c>
      <c r="C46" s="12">
        <v>35.26285</v>
      </c>
      <c r="D46" s="251">
        <v>0</v>
      </c>
      <c r="E46" s="9">
        <f t="shared" si="0"/>
        <v>0</v>
      </c>
      <c r="F46" s="9">
        <f t="shared" si="1"/>
        <v>-35.26285</v>
      </c>
    </row>
    <row r="47" spans="1:7" ht="23.25" hidden="1" customHeight="1">
      <c r="A47" s="16">
        <v>2020900000</v>
      </c>
      <c r="B47" s="18" t="s">
        <v>25</v>
      </c>
      <c r="C47" s="12"/>
      <c r="D47" s="251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8" s="6" customFormat="1" ht="27.75" hidden="1" customHeight="1">
      <c r="A49" s="3">
        <v>3000000000</v>
      </c>
      <c r="B49" s="13" t="s">
        <v>27</v>
      </c>
      <c r="C49" s="27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9.5" customHeight="1">
      <c r="A50" s="7">
        <v>2070500010</v>
      </c>
      <c r="B50" s="8" t="s">
        <v>353</v>
      </c>
      <c r="C50" s="12">
        <v>329.44087000000002</v>
      </c>
      <c r="D50" s="10">
        <v>329.44099999999997</v>
      </c>
      <c r="E50" s="9">
        <f t="shared" si="0"/>
        <v>100.00003946079912</v>
      </c>
      <c r="F50" s="9">
        <f t="shared" si="1"/>
        <v>1.2999999995599865E-4</v>
      </c>
    </row>
    <row r="51" spans="1:8" s="6" customFormat="1" ht="19.5" customHeight="1">
      <c r="A51" s="3"/>
      <c r="B51" s="4" t="s">
        <v>28</v>
      </c>
      <c r="C51" s="93">
        <f>C40+C41</f>
        <v>5983.9151000000002</v>
      </c>
      <c r="D51" s="471">
        <f>D40+D41</f>
        <v>1166.8846299999998</v>
      </c>
      <c r="E51" s="93">
        <f t="shared" si="0"/>
        <v>19.500354040785101</v>
      </c>
      <c r="F51" s="93">
        <f t="shared" si="1"/>
        <v>-4817.0304700000006</v>
      </c>
      <c r="G51" s="292">
        <f>5983.9151-C51</f>
        <v>0</v>
      </c>
      <c r="H51" s="292">
        <f>1166.88463-D51</f>
        <v>0</v>
      </c>
    </row>
    <row r="52" spans="1:8" s="6" customFormat="1">
      <c r="A52" s="3"/>
      <c r="B52" s="21" t="s">
        <v>321</v>
      </c>
      <c r="C52" s="93">
        <f>C51-C98</f>
        <v>-170.08352000000014</v>
      </c>
      <c r="D52" s="93">
        <f>D51-D98</f>
        <v>316.49659999999983</v>
      </c>
      <c r="E52" s="22"/>
      <c r="F52" s="22"/>
    </row>
    <row r="53" spans="1:8">
      <c r="A53" s="23"/>
      <c r="B53" s="24"/>
      <c r="C53" s="249"/>
      <c r="D53" s="249"/>
      <c r="E53" s="26"/>
      <c r="F53" s="27"/>
    </row>
    <row r="54" spans="1:8" ht="46.5" customHeight="1">
      <c r="A54" s="28" t="s">
        <v>1</v>
      </c>
      <c r="B54" s="28" t="s">
        <v>29</v>
      </c>
      <c r="C54" s="242" t="s">
        <v>412</v>
      </c>
      <c r="D54" s="243" t="s">
        <v>419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30</v>
      </c>
      <c r="B56" s="31" t="s">
        <v>31</v>
      </c>
      <c r="C56" s="245">
        <f>C57+C58+C59+C60+C61+C63+C62</f>
        <v>1288.2380000000001</v>
      </c>
      <c r="D56" s="33">
        <f>D57+D58+D59+D60+D61+D63+D62</f>
        <v>314.93157000000002</v>
      </c>
      <c r="E56" s="34">
        <f>SUM(D56/C56*100)</f>
        <v>24.446691527497251</v>
      </c>
      <c r="F56" s="34">
        <f>SUM(D56-C56)</f>
        <v>-973.30643000000009</v>
      </c>
    </row>
    <row r="57" spans="1:8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1280</v>
      </c>
      <c r="D58" s="37">
        <v>311.69357000000002</v>
      </c>
      <c r="E58" s="38">
        <f t="shared" ref="E58:E98" si="3">SUM(D58/C58*100)</f>
        <v>24.35106015625</v>
      </c>
      <c r="F58" s="38">
        <f t="shared" ref="F58:F98" si="4">SUM(D58-C58)</f>
        <v>-968.30642999999998</v>
      </c>
    </row>
    <row r="59" spans="1:8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44</v>
      </c>
      <c r="B63" s="39" t="s">
        <v>45</v>
      </c>
      <c r="C63" s="37">
        <v>3.238</v>
      </c>
      <c r="D63" s="37">
        <v>3.238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46</v>
      </c>
      <c r="B64" s="42" t="s">
        <v>47</v>
      </c>
      <c r="C64" s="32">
        <f>C65</f>
        <v>89.945999999999998</v>
      </c>
      <c r="D64" s="32">
        <f>D65</f>
        <v>17.202559999999998</v>
      </c>
      <c r="E64" s="34">
        <f t="shared" si="3"/>
        <v>19.12543081404398</v>
      </c>
      <c r="F64" s="34">
        <f t="shared" si="4"/>
        <v>-72.743439999999993</v>
      </c>
    </row>
    <row r="65" spans="1:7">
      <c r="A65" s="43" t="s">
        <v>48</v>
      </c>
      <c r="B65" s="44" t="s">
        <v>49</v>
      </c>
      <c r="C65" s="37">
        <v>89.945999999999998</v>
      </c>
      <c r="D65" s="37">
        <v>17.202559999999998</v>
      </c>
      <c r="E65" s="38">
        <f t="shared" si="3"/>
        <v>19.12543081404398</v>
      </c>
      <c r="F65" s="38">
        <f t="shared" si="4"/>
        <v>-72.743439999999993</v>
      </c>
    </row>
    <row r="66" spans="1:7" s="6" customFormat="1" ht="18.75" customHeight="1">
      <c r="A66" s="30" t="s">
        <v>50</v>
      </c>
      <c r="B66" s="31" t="s">
        <v>51</v>
      </c>
      <c r="C66" s="32">
        <f>C69+C70+C71</f>
        <v>6</v>
      </c>
      <c r="D66" s="32">
        <f>D69+D70</f>
        <v>0.6</v>
      </c>
      <c r="E66" s="34">
        <f t="shared" si="3"/>
        <v>10</v>
      </c>
      <c r="F66" s="34">
        <f t="shared" si="4"/>
        <v>-5.4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1.6</v>
      </c>
      <c r="D69" s="37">
        <v>0</v>
      </c>
      <c r="E69" s="38">
        <f t="shared" si="3"/>
        <v>0</v>
      </c>
      <c r="F69" s="38">
        <f t="shared" si="4"/>
        <v>-1.6</v>
      </c>
    </row>
    <row r="70" spans="1:7" ht="15.75" customHeight="1">
      <c r="A70" s="46" t="s">
        <v>219</v>
      </c>
      <c r="B70" s="47" t="s">
        <v>220</v>
      </c>
      <c r="C70" s="37">
        <v>2.4</v>
      </c>
      <c r="D70" s="37">
        <v>0.6</v>
      </c>
      <c r="E70" s="38">
        <f t="shared" si="3"/>
        <v>25</v>
      </c>
      <c r="F70" s="38">
        <f t="shared" si="4"/>
        <v>-1.7999999999999998</v>
      </c>
    </row>
    <row r="71" spans="1:7" ht="15.75" customHeight="1">
      <c r="A71" s="46" t="s">
        <v>358</v>
      </c>
      <c r="B71" s="47" t="s">
        <v>415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58</v>
      </c>
      <c r="B72" s="31" t="s">
        <v>59</v>
      </c>
      <c r="C72" s="48">
        <f>SUM(C73:C76)</f>
        <v>2540.0608400000001</v>
      </c>
      <c r="D72" s="48">
        <f>SUM(D73:D76)</f>
        <v>207.53989999999999</v>
      </c>
      <c r="E72" s="34">
        <f t="shared" si="3"/>
        <v>8.1706664947442746</v>
      </c>
      <c r="F72" s="34">
        <f t="shared" si="4"/>
        <v>-2332.5209400000003</v>
      </c>
    </row>
    <row r="73" spans="1:7" ht="15.75" customHeight="1">
      <c r="A73" s="35" t="s">
        <v>60</v>
      </c>
      <c r="B73" s="39" t="s">
        <v>61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9.5" customHeight="1">
      <c r="A74" s="35" t="s">
        <v>62</v>
      </c>
      <c r="B74" s="39" t="s">
        <v>63</v>
      </c>
      <c r="C74" s="49">
        <v>90</v>
      </c>
      <c r="D74" s="37">
        <v>2.0729000000000002</v>
      </c>
      <c r="E74" s="38">
        <f t="shared" si="3"/>
        <v>2.3032222222222223</v>
      </c>
      <c r="F74" s="38">
        <f t="shared" si="4"/>
        <v>-87.927099999999996</v>
      </c>
      <c r="G74" s="50"/>
    </row>
    <row r="75" spans="1:7">
      <c r="A75" s="35" t="s">
        <v>64</v>
      </c>
      <c r="B75" s="39" t="s">
        <v>65</v>
      </c>
      <c r="C75" s="49">
        <v>2388.3583400000002</v>
      </c>
      <c r="D75" s="37">
        <v>169.6</v>
      </c>
      <c r="E75" s="38">
        <f t="shared" si="3"/>
        <v>7.1011119713300639</v>
      </c>
      <c r="F75" s="38">
        <f t="shared" si="4"/>
        <v>-2218.7583400000003</v>
      </c>
    </row>
    <row r="76" spans="1:7" ht="16.5" customHeight="1">
      <c r="A76" s="35" t="s">
        <v>66</v>
      </c>
      <c r="B76" s="39" t="s">
        <v>67</v>
      </c>
      <c r="C76" s="49">
        <v>55</v>
      </c>
      <c r="D76" s="37">
        <v>35.866999999999997</v>
      </c>
      <c r="E76" s="38">
        <f t="shared" si="3"/>
        <v>65.212727272727264</v>
      </c>
      <c r="F76" s="38">
        <f t="shared" si="4"/>
        <v>-19.133000000000003</v>
      </c>
    </row>
    <row r="77" spans="1:7" s="6" customFormat="1" ht="19.5" customHeight="1">
      <c r="A77" s="30" t="s">
        <v>68</v>
      </c>
      <c r="B77" s="31" t="s">
        <v>69</v>
      </c>
      <c r="C77" s="32">
        <f>SUM(C78:C80)</f>
        <v>612.35378000000003</v>
      </c>
      <c r="D77" s="32">
        <f>SUM(D78:D80)</f>
        <v>69.713999999999999</v>
      </c>
      <c r="E77" s="34">
        <f t="shared" si="3"/>
        <v>11.384595355972163</v>
      </c>
      <c r="F77" s="34">
        <f t="shared" si="4"/>
        <v>-542.63977999999997</v>
      </c>
    </row>
    <row r="78" spans="1:7" ht="18" customHeight="1">
      <c r="A78" s="35" t="s">
        <v>70</v>
      </c>
      <c r="B78" s="51" t="s">
        <v>71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72</v>
      </c>
      <c r="B79" s="51" t="s">
        <v>73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612.35378000000003</v>
      </c>
      <c r="D80" s="37">
        <v>69.713999999999999</v>
      </c>
      <c r="E80" s="38">
        <f t="shared" si="3"/>
        <v>11.384595355972163</v>
      </c>
      <c r="F80" s="38">
        <f t="shared" si="4"/>
        <v>-542.63977999999997</v>
      </c>
    </row>
    <row r="81" spans="1:7" s="6" customFormat="1">
      <c r="A81" s="30" t="s">
        <v>86</v>
      </c>
      <c r="B81" s="31" t="s">
        <v>87</v>
      </c>
      <c r="C81" s="32">
        <f>C82</f>
        <v>1615.4</v>
      </c>
      <c r="D81" s="32">
        <f>SUM(D82)</f>
        <v>239.4</v>
      </c>
      <c r="E81" s="34">
        <f t="shared" si="3"/>
        <v>14.819858858487061</v>
      </c>
      <c r="F81" s="34">
        <f t="shared" si="4"/>
        <v>-1376</v>
      </c>
    </row>
    <row r="82" spans="1:7" ht="17.25" customHeight="1">
      <c r="A82" s="35" t="s">
        <v>88</v>
      </c>
      <c r="B82" s="39" t="s">
        <v>234</v>
      </c>
      <c r="C82" s="37">
        <v>1615.4</v>
      </c>
      <c r="D82" s="37">
        <v>239.4</v>
      </c>
      <c r="E82" s="38">
        <f t="shared" si="3"/>
        <v>14.819858858487061</v>
      </c>
      <c r="F82" s="38">
        <f t="shared" si="4"/>
        <v>-1376</v>
      </c>
    </row>
    <row r="83" spans="1:7" s="6" customFormat="1" ht="21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95</v>
      </c>
      <c r="B88" s="31" t="s">
        <v>96</v>
      </c>
      <c r="C88" s="32">
        <f>C89+C90+C91+C92+C93</f>
        <v>2</v>
      </c>
      <c r="D88" s="32">
        <f>D89</f>
        <v>1</v>
      </c>
      <c r="E88" s="38">
        <f t="shared" si="3"/>
        <v>50</v>
      </c>
      <c r="F88" s="22">
        <f>F89+F90+F91+F92+F93</f>
        <v>-1</v>
      </c>
    </row>
    <row r="89" spans="1:7" ht="19.5" customHeight="1">
      <c r="A89" s="35" t="s">
        <v>97</v>
      </c>
      <c r="B89" s="39" t="s">
        <v>98</v>
      </c>
      <c r="C89" s="37">
        <v>2</v>
      </c>
      <c r="D89" s="37">
        <v>1</v>
      </c>
      <c r="E89" s="38">
        <f t="shared" si="3"/>
        <v>50</v>
      </c>
      <c r="F89" s="38">
        <f>SUM(D89-C89)</f>
        <v>-1</v>
      </c>
      <c r="G89" s="355"/>
    </row>
    <row r="90" spans="1:7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101</v>
      </c>
      <c r="B91" s="39" t="s">
        <v>102</v>
      </c>
      <c r="C91" s="37"/>
      <c r="D91" s="37" t="s">
        <v>339</v>
      </c>
      <c r="E91" s="38" t="e">
        <f t="shared" si="3"/>
        <v>#VALUE!</v>
      </c>
      <c r="F91" s="38"/>
    </row>
    <row r="92" spans="1:7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119</v>
      </c>
      <c r="C98" s="474">
        <f>C56+C64+C66+C72+C77+C81+C83+C88+C94</f>
        <v>6153.9986200000003</v>
      </c>
      <c r="D98" s="474">
        <f>D56+D64+D66+D72+D77+D81+D83+D88+D94</f>
        <v>850.38802999999996</v>
      </c>
      <c r="E98" s="34">
        <f t="shared" si="3"/>
        <v>13.818463124712235</v>
      </c>
      <c r="F98" s="34">
        <f t="shared" si="4"/>
        <v>-5303.6105900000002</v>
      </c>
      <c r="G98" s="292">
        <f>6153.99862-C98</f>
        <v>0</v>
      </c>
      <c r="H98" s="292">
        <f>850.38803-D98</f>
        <v>0</v>
      </c>
    </row>
    <row r="99" spans="1:8">
      <c r="C99" s="126"/>
      <c r="D99" s="101"/>
    </row>
    <row r="100" spans="1:8" s="65" customFormat="1" ht="16.5" customHeight="1">
      <c r="A100" s="63" t="s">
        <v>120</v>
      </c>
      <c r="B100" s="63"/>
      <c r="C100" s="248"/>
      <c r="D100" s="248"/>
      <c r="E100" s="367"/>
    </row>
    <row r="101" spans="1:8" s="65" customFormat="1" ht="20.25" customHeight="1">
      <c r="A101" s="66" t="s">
        <v>121</v>
      </c>
      <c r="B101" s="66"/>
      <c r="C101" s="65" t="s">
        <v>122</v>
      </c>
    </row>
    <row r="102" spans="1:8" ht="13.5" customHeight="1">
      <c r="C102" s="120"/>
    </row>
    <row r="104" spans="1:8" ht="5.25" customHeight="1"/>
  </sheetData>
  <customSheetViews>
    <customSheetView guid="{35821C05-60FE-4C33-8558-8CF10812F6FC}" hiddenRows="1" topLeftCell="A50">
      <selection activeCell="B100" sqref="B100"/>
      <pageMargins left="0.7" right="0.7" top="0.75" bottom="0.75" header="0.3" footer="0.3"/>
      <pageSetup paperSize="9" scale="52" orientation="portrait" r:id="rId1"/>
    </customSheetView>
    <customSheetView guid="{B31C8DB7-3E78-4144-A6B5-8DE36DE63F0E}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61528DAC-5C4C-48F4-ADE2-8A724B05A086}" scale="70" showPageBreaks="1" hiddenRows="1" view="pageBreakPreview" topLeftCell="A12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25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9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4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3" t="s">
        <v>428</v>
      </c>
      <c r="B1" s="533"/>
      <c r="C1" s="533"/>
      <c r="D1" s="533"/>
      <c r="E1" s="533"/>
      <c r="F1" s="533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724.452</v>
      </c>
      <c r="D4" s="5">
        <f>D5+D12+D14+D17+D7</f>
        <v>160.75614999999999</v>
      </c>
      <c r="E4" s="5">
        <f>SUM(D4/C4*100)</f>
        <v>22.190034674484991</v>
      </c>
      <c r="F4" s="5">
        <f>SUM(D4-C4)</f>
        <v>-563.69585000000006</v>
      </c>
    </row>
    <row r="5" spans="1:6" s="6" customFormat="1">
      <c r="A5" s="68">
        <v>1010000000</v>
      </c>
      <c r="B5" s="67" t="s">
        <v>6</v>
      </c>
      <c r="C5" s="5">
        <f>C6</f>
        <v>37.046999999999997</v>
      </c>
      <c r="D5" s="5">
        <f>D6</f>
        <v>7.9203799999999998</v>
      </c>
      <c r="E5" s="5">
        <f t="shared" ref="E5:E51" si="0">SUM(D5/C5*100)</f>
        <v>21.379274975031716</v>
      </c>
      <c r="F5" s="5">
        <f t="shared" ref="F5:F51" si="1">SUM(D5-C5)</f>
        <v>-29.126619999999996</v>
      </c>
    </row>
    <row r="6" spans="1:6">
      <c r="A6" s="7">
        <v>1010200001</v>
      </c>
      <c r="B6" s="8" t="s">
        <v>229</v>
      </c>
      <c r="C6" s="9">
        <v>37.046999999999997</v>
      </c>
      <c r="D6" s="10">
        <v>7.9203799999999998</v>
      </c>
      <c r="E6" s="9">
        <f t="shared" ref="E6:E11" si="2">SUM(D6/C6*100)</f>
        <v>21.379274975031716</v>
      </c>
      <c r="F6" s="9">
        <f t="shared" si="1"/>
        <v>-29.126619999999996</v>
      </c>
    </row>
    <row r="7" spans="1:6" ht="31.5">
      <c r="A7" s="3">
        <v>1030000000</v>
      </c>
      <c r="B7" s="13" t="s">
        <v>281</v>
      </c>
      <c r="C7" s="5">
        <f>C8+C10+C9</f>
        <v>325.40500000000003</v>
      </c>
      <c r="D7" s="5">
        <f>D8+D10+D9+D11</f>
        <v>95.494889999999998</v>
      </c>
      <c r="E7" s="5">
        <f t="shared" si="2"/>
        <v>29.346472856901396</v>
      </c>
      <c r="F7" s="5">
        <f t="shared" si="1"/>
        <v>-229.91011000000003</v>
      </c>
    </row>
    <row r="8" spans="1:6">
      <c r="A8" s="7">
        <v>1030223001</v>
      </c>
      <c r="B8" s="8" t="s">
        <v>283</v>
      </c>
      <c r="C8" s="9">
        <v>121.37</v>
      </c>
      <c r="D8" s="10">
        <v>41.950220000000002</v>
      </c>
      <c r="E8" s="9">
        <f t="shared" si="2"/>
        <v>34.563912004613989</v>
      </c>
      <c r="F8" s="9">
        <f t="shared" si="1"/>
        <v>-79.419780000000003</v>
      </c>
    </row>
    <row r="9" spans="1:6">
      <c r="A9" s="7">
        <v>1030224001</v>
      </c>
      <c r="B9" s="8" t="s">
        <v>289</v>
      </c>
      <c r="C9" s="9">
        <v>1.3049999999999999</v>
      </c>
      <c r="D9" s="10">
        <v>0.29310000000000003</v>
      </c>
      <c r="E9" s="9">
        <f t="shared" si="2"/>
        <v>22.459770114942533</v>
      </c>
      <c r="F9" s="9">
        <f t="shared" si="1"/>
        <v>-1.0118999999999998</v>
      </c>
    </row>
    <row r="10" spans="1:6">
      <c r="A10" s="7">
        <v>1030225001</v>
      </c>
      <c r="B10" s="8" t="s">
        <v>282</v>
      </c>
      <c r="C10" s="9">
        <v>202.73</v>
      </c>
      <c r="D10" s="10">
        <v>61.507689999999997</v>
      </c>
      <c r="E10" s="9">
        <f t="shared" si="2"/>
        <v>30.339707985991222</v>
      </c>
      <c r="F10" s="9">
        <f t="shared" si="1"/>
        <v>-141.22230999999999</v>
      </c>
    </row>
    <row r="11" spans="1:6">
      <c r="A11" s="7">
        <v>1030226001</v>
      </c>
      <c r="B11" s="8" t="s">
        <v>291</v>
      </c>
      <c r="C11" s="9">
        <v>0</v>
      </c>
      <c r="D11" s="10">
        <v>-8.2561199999999992</v>
      </c>
      <c r="E11" s="9" t="e">
        <f t="shared" si="2"/>
        <v>#DIV/0!</v>
      </c>
      <c r="F11" s="9">
        <f t="shared" si="1"/>
        <v>-8.2561199999999992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41.775889999999997</v>
      </c>
      <c r="E12" s="5">
        <f t="shared" si="0"/>
        <v>417.75889999999993</v>
      </c>
      <c r="F12" s="5">
        <f t="shared" si="1"/>
        <v>31.775889999999997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41.775889999999997</v>
      </c>
      <c r="E13" s="9">
        <f t="shared" si="0"/>
        <v>417.75889999999993</v>
      </c>
      <c r="F13" s="9">
        <f t="shared" si="1"/>
        <v>31.775889999999997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347</v>
      </c>
      <c r="D14" s="5">
        <f>D15+D16</f>
        <v>14.014990000000001</v>
      </c>
      <c r="E14" s="5">
        <f t="shared" si="0"/>
        <v>4.0389020172910666</v>
      </c>
      <c r="F14" s="5">
        <f t="shared" si="1"/>
        <v>-332.98500999999999</v>
      </c>
    </row>
    <row r="15" spans="1:6" s="6" customFormat="1" ht="15.75" customHeight="1">
      <c r="A15" s="7">
        <v>1060100000</v>
      </c>
      <c r="B15" s="11" t="s">
        <v>9</v>
      </c>
      <c r="C15" s="9">
        <v>42</v>
      </c>
      <c r="D15" s="10">
        <v>1.1193200000000001</v>
      </c>
      <c r="E15" s="9">
        <f t="shared" si="0"/>
        <v>2.6650476190476193</v>
      </c>
      <c r="F15" s="9">
        <f>SUM(D15-C15)</f>
        <v>-40.880679999999998</v>
      </c>
    </row>
    <row r="16" spans="1:6" ht="15.75" customHeight="1">
      <c r="A16" s="7">
        <v>1060600000</v>
      </c>
      <c r="B16" s="11" t="s">
        <v>8</v>
      </c>
      <c r="C16" s="9">
        <v>305</v>
      </c>
      <c r="D16" s="10">
        <v>12.895670000000001</v>
      </c>
      <c r="E16" s="9">
        <f t="shared" si="0"/>
        <v>4.2280885245901647</v>
      </c>
      <c r="F16" s="9">
        <f t="shared" si="1"/>
        <v>-292.10433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1.55</v>
      </c>
      <c r="E17" s="5">
        <f t="shared" si="0"/>
        <v>31</v>
      </c>
      <c r="F17" s="5">
        <f t="shared" si="1"/>
        <v>-3.45</v>
      </c>
    </row>
    <row r="18" spans="1:6" ht="16.5" customHeight="1">
      <c r="A18" s="7">
        <v>1080400001</v>
      </c>
      <c r="B18" s="8" t="s">
        <v>228</v>
      </c>
      <c r="C18" s="9">
        <v>5</v>
      </c>
      <c r="D18" s="10">
        <v>1.55</v>
      </c>
      <c r="E18" s="9">
        <f t="shared" si="0"/>
        <v>31</v>
      </c>
      <c r="F18" s="9">
        <f t="shared" si="1"/>
        <v>-3.45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109</v>
      </c>
      <c r="D25" s="5">
        <f>D26+D29+D31+D37+D34</f>
        <v>63.279719999999998</v>
      </c>
      <c r="E25" s="5">
        <f t="shared" si="0"/>
        <v>58.054788990825692</v>
      </c>
      <c r="F25" s="5">
        <f t="shared" si="1"/>
        <v>-45.720280000000002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79</v>
      </c>
      <c r="D26" s="5">
        <f>D27+D28</f>
        <v>58.500599999999999</v>
      </c>
      <c r="E26" s="5">
        <f t="shared" si="0"/>
        <v>74.051392405063282</v>
      </c>
      <c r="F26" s="5">
        <f t="shared" si="1"/>
        <v>-20.499400000000001</v>
      </c>
    </row>
    <row r="27" spans="1:6">
      <c r="A27" s="16">
        <v>1110502510</v>
      </c>
      <c r="B27" s="17" t="s">
        <v>226</v>
      </c>
      <c r="C27" s="12">
        <v>62</v>
      </c>
      <c r="D27" s="10">
        <v>51.997799999999998</v>
      </c>
      <c r="E27" s="9">
        <f t="shared" si="0"/>
        <v>83.867419354838702</v>
      </c>
      <c r="F27" s="9">
        <f t="shared" si="1"/>
        <v>-10.002200000000002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6.5027999999999997</v>
      </c>
      <c r="E28" s="9">
        <f t="shared" si="0"/>
        <v>38.251764705882351</v>
      </c>
      <c r="F28" s="9">
        <f t="shared" si="1"/>
        <v>-10.497199999999999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30</v>
      </c>
      <c r="D29" s="5">
        <f>D30</f>
        <v>4.7791199999999998</v>
      </c>
      <c r="E29" s="5">
        <f t="shared" si="0"/>
        <v>15.930400000000001</v>
      </c>
      <c r="F29" s="5">
        <f t="shared" si="1"/>
        <v>-25.220880000000001</v>
      </c>
    </row>
    <row r="30" spans="1:6">
      <c r="A30" s="7">
        <v>1130206005</v>
      </c>
      <c r="B30" s="8" t="s">
        <v>224</v>
      </c>
      <c r="C30" s="9">
        <v>30</v>
      </c>
      <c r="D30" s="10">
        <v>4.7791199999999998</v>
      </c>
      <c r="E30" s="9">
        <f t="shared" si="0"/>
        <v>15.930400000000001</v>
      </c>
      <c r="F30" s="9">
        <f t="shared" si="1"/>
        <v>-25.220880000000001</v>
      </c>
    </row>
    <row r="31" spans="1:6" ht="27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19</v>
      </c>
      <c r="C40" s="127">
        <f>SUM(C4,C25)</f>
        <v>833.452</v>
      </c>
      <c r="D40" s="127">
        <f>D4+D25</f>
        <v>224.03586999999999</v>
      </c>
      <c r="E40" s="5">
        <f t="shared" si="0"/>
        <v>26.88047662012929</v>
      </c>
      <c r="F40" s="5">
        <f t="shared" si="1"/>
        <v>-609.41613000000007</v>
      </c>
    </row>
    <row r="41" spans="1:7" s="6" customFormat="1">
      <c r="A41" s="3">
        <v>2000000000</v>
      </c>
      <c r="B41" s="4" t="s">
        <v>20</v>
      </c>
      <c r="C41" s="5">
        <f>C42+C43+C44+C45+C46+C47+C50</f>
        <v>3061.1811199999997</v>
      </c>
      <c r="D41" s="5">
        <f>D42+D43+D44+D45+D46+D47+D50</f>
        <v>518.73800000000006</v>
      </c>
      <c r="E41" s="5">
        <f t="shared" si="0"/>
        <v>16.945681410709867</v>
      </c>
      <c r="F41" s="5">
        <f t="shared" si="1"/>
        <v>-2542.4431199999999</v>
      </c>
      <c r="G41" s="19"/>
    </row>
    <row r="42" spans="1:7" ht="16.5" customHeight="1">
      <c r="A42" s="16">
        <v>2021000000</v>
      </c>
      <c r="B42" s="17" t="s">
        <v>21</v>
      </c>
      <c r="C42" s="12">
        <v>1347.9</v>
      </c>
      <c r="D42" s="12">
        <v>336.97500000000002</v>
      </c>
      <c r="E42" s="9">
        <f t="shared" si="0"/>
        <v>25</v>
      </c>
      <c r="F42" s="9">
        <f t="shared" si="1"/>
        <v>-1010.9250000000001</v>
      </c>
    </row>
    <row r="43" spans="1:7" ht="15.75" customHeight="1">
      <c r="A43" s="16">
        <v>2021500200</v>
      </c>
      <c r="B43" s="17" t="s">
        <v>232</v>
      </c>
      <c r="C43" s="12">
        <v>290</v>
      </c>
      <c r="D43" s="20">
        <v>72.5</v>
      </c>
      <c r="E43" s="9">
        <f t="shared" si="0"/>
        <v>25</v>
      </c>
      <c r="F43" s="9">
        <f t="shared" si="1"/>
        <v>-217.5</v>
      </c>
    </row>
    <row r="44" spans="1:7">
      <c r="A44" s="16">
        <v>2022000000</v>
      </c>
      <c r="B44" s="17" t="s">
        <v>22</v>
      </c>
      <c r="C44" s="12">
        <v>1213.53934</v>
      </c>
      <c r="D44" s="10">
        <v>87.012</v>
      </c>
      <c r="E44" s="9">
        <f t="shared" si="0"/>
        <v>7.1701013005478664</v>
      </c>
      <c r="F44" s="9">
        <f t="shared" si="1"/>
        <v>-1126.5273400000001</v>
      </c>
    </row>
    <row r="45" spans="1:7" ht="15" customHeight="1">
      <c r="A45" s="16">
        <v>2023000000</v>
      </c>
      <c r="B45" s="17" t="s">
        <v>23</v>
      </c>
      <c r="C45" s="12">
        <v>91.480999999999995</v>
      </c>
      <c r="D45" s="250">
        <v>22.251000000000001</v>
      </c>
      <c r="E45" s="9">
        <f t="shared" si="0"/>
        <v>24.3230834818159</v>
      </c>
      <c r="F45" s="9">
        <f t="shared" si="1"/>
        <v>-69.22999999999999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1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1"/>
      <c r="E48" s="9"/>
      <c r="F48" s="9"/>
    </row>
    <row r="49" spans="1:8" s="6" customFormat="1" ht="17.25" hidden="1" customHeight="1">
      <c r="A49" s="3">
        <v>3000000000</v>
      </c>
      <c r="B49" s="13" t="s">
        <v>27</v>
      </c>
      <c r="C49" s="27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7">
        <v>2070500010</v>
      </c>
      <c r="B50" s="8" t="s">
        <v>353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3"/>
      <c r="B51" s="4" t="s">
        <v>28</v>
      </c>
      <c r="C51" s="376">
        <f>C40+C41</f>
        <v>3894.6331199999995</v>
      </c>
      <c r="D51" s="377">
        <f>D40+D41</f>
        <v>742.77386999999999</v>
      </c>
      <c r="E51" s="93">
        <f t="shared" si="0"/>
        <v>19.071728892399502</v>
      </c>
      <c r="F51" s="93">
        <f t="shared" si="1"/>
        <v>-3151.8592499999995</v>
      </c>
      <c r="G51" s="94">
        <f>3894.63312-C51</f>
        <v>0</v>
      </c>
      <c r="H51" s="368">
        <f>742.77387-D51</f>
        <v>0</v>
      </c>
    </row>
    <row r="52" spans="1:8" s="6" customFormat="1" ht="16.5" customHeight="1">
      <c r="A52" s="3"/>
      <c r="B52" s="21" t="s">
        <v>322</v>
      </c>
      <c r="C52" s="376">
        <f>C51-C98</f>
        <v>-170.14937000000054</v>
      </c>
      <c r="D52" s="376">
        <f>D51-D98</f>
        <v>175.97217999999998</v>
      </c>
      <c r="E52" s="280"/>
      <c r="F52" s="280"/>
    </row>
    <row r="53" spans="1:8">
      <c r="A53" s="23"/>
      <c r="B53" s="24"/>
      <c r="C53" s="324"/>
      <c r="D53" s="324"/>
      <c r="E53" s="26"/>
      <c r="F53" s="27"/>
    </row>
    <row r="54" spans="1:8" ht="32.25" customHeight="1">
      <c r="A54" s="28" t="s">
        <v>1</v>
      </c>
      <c r="B54" s="28" t="s">
        <v>29</v>
      </c>
      <c r="C54" s="247" t="s">
        <v>412</v>
      </c>
      <c r="D54" s="73" t="s">
        <v>419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30" t="s">
        <v>30</v>
      </c>
      <c r="B56" s="31" t="s">
        <v>31</v>
      </c>
      <c r="C56" s="33">
        <f>C57+C58+C59+C60+C61+C63+C62</f>
        <v>1086.1780000000001</v>
      </c>
      <c r="D56" s="33">
        <f>D57+D58+D59+D60+D61+D63+D62</f>
        <v>180.64268000000001</v>
      </c>
      <c r="E56" s="34">
        <f>SUM(D56/C56*100)</f>
        <v>16.631038374925655</v>
      </c>
      <c r="F56" s="34">
        <f>SUM(D56-C56)</f>
        <v>-905.53532000000007</v>
      </c>
    </row>
    <row r="57" spans="1:8" s="6" customFormat="1" ht="15.75" hidden="1" customHeight="1">
      <c r="A57" s="35" t="s">
        <v>32</v>
      </c>
      <c r="B57" s="36" t="s">
        <v>33</v>
      </c>
      <c r="C57" s="281"/>
      <c r="D57" s="281"/>
      <c r="E57" s="38"/>
      <c r="F57" s="38"/>
    </row>
    <row r="58" spans="1:8" ht="17.25" customHeight="1">
      <c r="A58" s="35" t="s">
        <v>34</v>
      </c>
      <c r="B58" s="39" t="s">
        <v>35</v>
      </c>
      <c r="C58" s="281">
        <v>1078.4780000000001</v>
      </c>
      <c r="D58" s="281">
        <v>178.06468000000001</v>
      </c>
      <c r="E58" s="38">
        <f t="shared" ref="E58:E98" si="3">SUM(D58/C58*100)</f>
        <v>16.510738281170315</v>
      </c>
      <c r="F58" s="38">
        <f t="shared" ref="F58:F98" si="4">SUM(D58-C58)</f>
        <v>-900.41332000000011</v>
      </c>
    </row>
    <row r="59" spans="1:8" ht="17.25" hidden="1" customHeight="1">
      <c r="A59" s="35" t="s">
        <v>36</v>
      </c>
      <c r="B59" s="39" t="s">
        <v>37</v>
      </c>
      <c r="C59" s="281"/>
      <c r="D59" s="281"/>
      <c r="E59" s="38"/>
      <c r="F59" s="38">
        <f t="shared" si="4"/>
        <v>0</v>
      </c>
    </row>
    <row r="60" spans="1:8" ht="15.75" hidden="1" customHeight="1">
      <c r="A60" s="35" t="s">
        <v>38</v>
      </c>
      <c r="B60" s="39" t="s">
        <v>39</v>
      </c>
      <c r="C60" s="281"/>
      <c r="D60" s="281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40</v>
      </c>
      <c r="B61" s="39" t="s">
        <v>41</v>
      </c>
      <c r="C61" s="281">
        <v>0</v>
      </c>
      <c r="D61" s="28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42</v>
      </c>
      <c r="B62" s="39" t="s">
        <v>43</v>
      </c>
      <c r="C62" s="282">
        <v>5</v>
      </c>
      <c r="D62" s="282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44</v>
      </c>
      <c r="B63" s="39" t="s">
        <v>45</v>
      </c>
      <c r="C63" s="281">
        <v>2.7</v>
      </c>
      <c r="D63" s="281">
        <v>2.5779999999999998</v>
      </c>
      <c r="E63" s="38">
        <f t="shared" si="3"/>
        <v>95.481481481481467</v>
      </c>
      <c r="F63" s="38">
        <f t="shared" si="4"/>
        <v>-0.12200000000000033</v>
      </c>
    </row>
    <row r="64" spans="1:8" s="6" customFormat="1">
      <c r="A64" s="41" t="s">
        <v>46</v>
      </c>
      <c r="B64" s="42" t="s">
        <v>47</v>
      </c>
      <c r="C64" s="33">
        <f>C65</f>
        <v>89.944999999999993</v>
      </c>
      <c r="D64" s="33">
        <f>D65</f>
        <v>17.272020000000001</v>
      </c>
      <c r="E64" s="34">
        <f t="shared" si="3"/>
        <v>19.202868419589752</v>
      </c>
      <c r="F64" s="34">
        <f t="shared" si="4"/>
        <v>-72.672979999999995</v>
      </c>
    </row>
    <row r="65" spans="1:9">
      <c r="A65" s="43" t="s">
        <v>48</v>
      </c>
      <c r="B65" s="44" t="s">
        <v>49</v>
      </c>
      <c r="C65" s="281">
        <v>89.944999999999993</v>
      </c>
      <c r="D65" s="281">
        <v>17.272020000000001</v>
      </c>
      <c r="E65" s="38">
        <f t="shared" si="3"/>
        <v>19.202868419589752</v>
      </c>
      <c r="F65" s="38">
        <f t="shared" si="4"/>
        <v>-72.672979999999995</v>
      </c>
    </row>
    <row r="66" spans="1:9" s="6" customFormat="1" ht="18" customHeight="1">
      <c r="A66" s="30" t="s">
        <v>50</v>
      </c>
      <c r="B66" s="31" t="s">
        <v>51</v>
      </c>
      <c r="C66" s="33">
        <f>C69+C70+C71</f>
        <v>8</v>
      </c>
      <c r="D66" s="33">
        <f>D69+D70</f>
        <v>0</v>
      </c>
      <c r="E66" s="34">
        <f t="shared" si="3"/>
        <v>0</v>
      </c>
      <c r="F66" s="34">
        <f t="shared" si="4"/>
        <v>-8</v>
      </c>
    </row>
    <row r="67" spans="1:9" ht="1.5" hidden="1" customHeight="1">
      <c r="A67" s="35" t="s">
        <v>52</v>
      </c>
      <c r="B67" s="39" t="s">
        <v>53</v>
      </c>
      <c r="C67" s="281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1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3">
        <v>1</v>
      </c>
      <c r="D69" s="33">
        <v>0</v>
      </c>
      <c r="E69" s="34">
        <f t="shared" si="3"/>
        <v>0</v>
      </c>
      <c r="F69" s="34">
        <f t="shared" si="4"/>
        <v>-1</v>
      </c>
    </row>
    <row r="70" spans="1:9">
      <c r="A70" s="46" t="s">
        <v>219</v>
      </c>
      <c r="B70" s="47" t="s">
        <v>220</v>
      </c>
      <c r="C70" s="281">
        <v>5</v>
      </c>
      <c r="D70" s="281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358</v>
      </c>
      <c r="B71" s="47" t="s">
        <v>415</v>
      </c>
      <c r="C71" s="281">
        <v>2</v>
      </c>
      <c r="D71" s="281"/>
      <c r="E71" s="34"/>
      <c r="F71" s="34"/>
    </row>
    <row r="72" spans="1:9" s="6" customFormat="1" ht="17.25" customHeight="1">
      <c r="A72" s="30" t="s">
        <v>58</v>
      </c>
      <c r="B72" s="31" t="s">
        <v>59</v>
      </c>
      <c r="C72" s="33">
        <f>SUM(C73:C76)</f>
        <v>1767.7594900000001</v>
      </c>
      <c r="D72" s="33">
        <f>SUM(D73:D76)</f>
        <v>127.13809999999999</v>
      </c>
      <c r="E72" s="34">
        <f t="shared" si="3"/>
        <v>7.192047375177717</v>
      </c>
      <c r="F72" s="34">
        <f t="shared" si="4"/>
        <v>-1640.6213900000002</v>
      </c>
      <c r="I72" s="108"/>
    </row>
    <row r="73" spans="1:9" ht="15.75" customHeight="1">
      <c r="A73" s="35" t="s">
        <v>60</v>
      </c>
      <c r="B73" s="39" t="s">
        <v>61</v>
      </c>
      <c r="C73" s="281">
        <v>4.0214999999999996</v>
      </c>
      <c r="D73" s="281">
        <v>0</v>
      </c>
      <c r="E73" s="38">
        <f t="shared" si="3"/>
        <v>0</v>
      </c>
      <c r="F73" s="38">
        <f t="shared" si="4"/>
        <v>-4.0214999999999996</v>
      </c>
    </row>
    <row r="74" spans="1:9" s="6" customFormat="1" ht="19.5" customHeight="1">
      <c r="A74" s="35" t="s">
        <v>62</v>
      </c>
      <c r="B74" s="39" t="s">
        <v>63</v>
      </c>
      <c r="C74" s="281">
        <v>30</v>
      </c>
      <c r="D74" s="281">
        <v>0</v>
      </c>
      <c r="E74" s="38">
        <f t="shared" si="3"/>
        <v>0</v>
      </c>
      <c r="F74" s="38">
        <f t="shared" si="4"/>
        <v>-30</v>
      </c>
      <c r="G74" s="50"/>
    </row>
    <row r="75" spans="1:9">
      <c r="A75" s="35" t="s">
        <v>64</v>
      </c>
      <c r="B75" s="39" t="s">
        <v>65</v>
      </c>
      <c r="C75" s="281">
        <v>1695.5829900000001</v>
      </c>
      <c r="D75" s="281">
        <v>110.63809999999999</v>
      </c>
      <c r="E75" s="38">
        <f t="shared" si="3"/>
        <v>6.5250772538122712</v>
      </c>
      <c r="F75" s="38">
        <f t="shared" si="4"/>
        <v>-1584.9448900000002</v>
      </c>
    </row>
    <row r="76" spans="1:9">
      <c r="A76" s="35" t="s">
        <v>66</v>
      </c>
      <c r="B76" s="39" t="s">
        <v>67</v>
      </c>
      <c r="C76" s="281">
        <v>38.155000000000001</v>
      </c>
      <c r="D76" s="281">
        <v>16.5</v>
      </c>
      <c r="E76" s="38">
        <f t="shared" si="3"/>
        <v>43.244659939719568</v>
      </c>
      <c r="F76" s="38">
        <f t="shared" si="4"/>
        <v>-21.655000000000001</v>
      </c>
    </row>
    <row r="77" spans="1:9" s="6" customFormat="1" ht="18" customHeight="1">
      <c r="A77" s="30" t="s">
        <v>68</v>
      </c>
      <c r="B77" s="31" t="s">
        <v>69</v>
      </c>
      <c r="C77" s="33">
        <f>SUM(C78:C80)</f>
        <v>310.5</v>
      </c>
      <c r="D77" s="33">
        <f>SUM(D78:D80)</f>
        <v>38.348889999999997</v>
      </c>
      <c r="E77" s="34">
        <f t="shared" si="3"/>
        <v>12.35068921095008</v>
      </c>
      <c r="F77" s="34">
        <f t="shared" si="4"/>
        <v>-272.15111000000002</v>
      </c>
    </row>
    <row r="78" spans="1:9" ht="15" hidden="1" customHeight="1">
      <c r="A78" s="35" t="s">
        <v>70</v>
      </c>
      <c r="B78" s="51" t="s">
        <v>71</v>
      </c>
      <c r="C78" s="281"/>
      <c r="D78" s="281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72</v>
      </c>
      <c r="B79" s="51" t="s">
        <v>73</v>
      </c>
      <c r="C79" s="281"/>
      <c r="D79" s="281"/>
      <c r="E79" s="38" t="e">
        <f t="shared" si="3"/>
        <v>#DIV/0!</v>
      </c>
      <c r="F79" s="38">
        <f t="shared" si="4"/>
        <v>0</v>
      </c>
    </row>
    <row r="80" spans="1:9">
      <c r="A80" s="35" t="s">
        <v>74</v>
      </c>
      <c r="B80" s="39" t="s">
        <v>75</v>
      </c>
      <c r="C80" s="281">
        <v>310.5</v>
      </c>
      <c r="D80" s="281">
        <v>38.348889999999997</v>
      </c>
      <c r="E80" s="38">
        <f t="shared" si="3"/>
        <v>12.35068921095008</v>
      </c>
      <c r="F80" s="38">
        <f t="shared" si="4"/>
        <v>-272.15111000000002</v>
      </c>
    </row>
    <row r="81" spans="1:12" s="6" customFormat="1">
      <c r="A81" s="30" t="s">
        <v>86</v>
      </c>
      <c r="B81" s="31" t="s">
        <v>87</v>
      </c>
      <c r="C81" s="33">
        <f>C82</f>
        <v>801.4</v>
      </c>
      <c r="D81" s="33">
        <f>SUM(D82)</f>
        <v>203.4</v>
      </c>
      <c r="E81" s="34">
        <f t="shared" si="3"/>
        <v>25.380583978038434</v>
      </c>
      <c r="F81" s="34">
        <f t="shared" si="4"/>
        <v>-598</v>
      </c>
    </row>
    <row r="82" spans="1:12" ht="15.75" customHeight="1">
      <c r="A82" s="35" t="s">
        <v>88</v>
      </c>
      <c r="B82" s="39" t="s">
        <v>234</v>
      </c>
      <c r="C82" s="281">
        <v>801.4</v>
      </c>
      <c r="D82" s="281">
        <v>203.4</v>
      </c>
      <c r="E82" s="38">
        <f t="shared" si="3"/>
        <v>25.380583978038434</v>
      </c>
      <c r="F82" s="38">
        <f t="shared" si="4"/>
        <v>-598</v>
      </c>
      <c r="L82" s="107"/>
    </row>
    <row r="83" spans="1:12" s="6" customFormat="1" hidden="1">
      <c r="A83" s="52">
        <v>1000</v>
      </c>
      <c r="B83" s="31" t="s">
        <v>89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3">
        <v>1001</v>
      </c>
      <c r="B84" s="54" t="s">
        <v>90</v>
      </c>
      <c r="C84" s="281"/>
      <c r="D84" s="281"/>
      <c r="E84" s="351" t="e">
        <f>SUM(D84/C84*100)</f>
        <v>#DIV/0!</v>
      </c>
      <c r="F84" s="351">
        <f>SUM(D84-C84)</f>
        <v>0</v>
      </c>
    </row>
    <row r="85" spans="1:12" hidden="1">
      <c r="A85" s="53">
        <v>1003</v>
      </c>
      <c r="B85" s="54" t="s">
        <v>91</v>
      </c>
      <c r="C85" s="281"/>
      <c r="D85" s="281"/>
      <c r="E85" s="351" t="e">
        <f>SUM(D85/C85*100)</f>
        <v>#DIV/0!</v>
      </c>
      <c r="F85" s="351">
        <f>SUM(D85-C85)</f>
        <v>0</v>
      </c>
    </row>
    <row r="86" spans="1:12" hidden="1">
      <c r="A86" s="53">
        <v>1004</v>
      </c>
      <c r="B86" s="54" t="s">
        <v>92</v>
      </c>
      <c r="C86" s="281"/>
      <c r="D86" s="284"/>
      <c r="E86" s="351" t="e">
        <f>SUM(D86/C86*100)</f>
        <v>#DIV/0!</v>
      </c>
      <c r="F86" s="351">
        <f>SUM(D86-C86)</f>
        <v>0</v>
      </c>
    </row>
    <row r="87" spans="1:12" ht="15" hidden="1" customHeight="1">
      <c r="A87" s="35" t="s">
        <v>93</v>
      </c>
      <c r="B87" s="39" t="s">
        <v>94</v>
      </c>
      <c r="C87" s="281">
        <v>0</v>
      </c>
      <c r="D87" s="281">
        <v>0</v>
      </c>
      <c r="E87" s="351" t="e">
        <f>SUM(D87/C87*100)</f>
        <v>#DIV/0!</v>
      </c>
      <c r="F87" s="351">
        <f>SUM(D87-C87)</f>
        <v>0</v>
      </c>
    </row>
    <row r="88" spans="1:12" ht="19.5" customHeight="1">
      <c r="A88" s="30" t="s">
        <v>95</v>
      </c>
      <c r="B88" s="31" t="s">
        <v>96</v>
      </c>
      <c r="C88" s="33">
        <f>C89+C90+C91+C92+C93</f>
        <v>1</v>
      </c>
      <c r="D88" s="33">
        <f>D89+D90+D91+D92+D93</f>
        <v>0</v>
      </c>
      <c r="E88" s="38">
        <f t="shared" si="3"/>
        <v>0</v>
      </c>
      <c r="F88" s="22">
        <f>F89+F90+F91+F92+F93</f>
        <v>-1</v>
      </c>
    </row>
    <row r="89" spans="1:12" ht="15.75" customHeight="1">
      <c r="A89" s="35" t="s">
        <v>97</v>
      </c>
      <c r="B89" s="39" t="s">
        <v>98</v>
      </c>
      <c r="C89" s="281">
        <v>1</v>
      </c>
      <c r="D89" s="281">
        <v>0</v>
      </c>
      <c r="E89" s="38">
        <f t="shared" si="3"/>
        <v>0</v>
      </c>
      <c r="F89" s="38">
        <f>SUM(D89-C89)</f>
        <v>-1</v>
      </c>
    </row>
    <row r="90" spans="1:12" ht="0.75" hidden="1" customHeight="1">
      <c r="A90" s="35" t="s">
        <v>99</v>
      </c>
      <c r="B90" s="39" t="s">
        <v>100</v>
      </c>
      <c r="C90" s="281"/>
      <c r="D90" s="281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101</v>
      </c>
      <c r="B91" s="39" t="s">
        <v>102</v>
      </c>
      <c r="C91" s="281"/>
      <c r="D91" s="281"/>
      <c r="E91" s="38" t="e">
        <f t="shared" si="3"/>
        <v>#DIV/0!</v>
      </c>
      <c r="F91" s="38"/>
    </row>
    <row r="92" spans="1:12" ht="3" hidden="1" customHeight="1">
      <c r="A92" s="35" t="s">
        <v>103</v>
      </c>
      <c r="B92" s="39" t="s">
        <v>104</v>
      </c>
      <c r="C92" s="281"/>
      <c r="D92" s="281"/>
      <c r="E92" s="38" t="e">
        <f t="shared" si="3"/>
        <v>#DIV/0!</v>
      </c>
      <c r="F92" s="38"/>
    </row>
    <row r="93" spans="1:12" ht="15" hidden="1" customHeight="1">
      <c r="A93" s="35" t="s">
        <v>105</v>
      </c>
      <c r="B93" s="39" t="s">
        <v>106</v>
      </c>
      <c r="C93" s="281"/>
      <c r="D93" s="281"/>
      <c r="E93" s="38" t="e">
        <f t="shared" si="3"/>
        <v>#DIV/0!</v>
      </c>
      <c r="F93" s="38"/>
    </row>
    <row r="94" spans="1:12" s="6" customFormat="1" ht="12" hidden="1" customHeight="1">
      <c r="A94" s="52">
        <v>1400</v>
      </c>
      <c r="B94" s="56" t="s">
        <v>115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3">
        <v>1401</v>
      </c>
      <c r="B95" s="54" t="s">
        <v>116</v>
      </c>
      <c r="C95" s="281"/>
      <c r="D95" s="281"/>
      <c r="E95" s="38" t="e">
        <f t="shared" si="3"/>
        <v>#DIV/0!</v>
      </c>
      <c r="F95" s="38">
        <f t="shared" si="4"/>
        <v>0</v>
      </c>
    </row>
    <row r="96" spans="1:12" hidden="1">
      <c r="A96" s="53">
        <v>1402</v>
      </c>
      <c r="B96" s="54" t="s">
        <v>117</v>
      </c>
      <c r="C96" s="281"/>
      <c r="D96" s="281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1403</v>
      </c>
      <c r="B97" s="54" t="s">
        <v>118</v>
      </c>
      <c r="C97" s="281"/>
      <c r="D97" s="281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2"/>
      <c r="B98" s="57" t="s">
        <v>119</v>
      </c>
      <c r="C98" s="378">
        <f>C56+C64+C66+C72+C77+C81+C88+C83</f>
        <v>4064.7824900000001</v>
      </c>
      <c r="D98" s="378">
        <f>D56+D64+D66+D72+D77+D81+D88+D83</f>
        <v>566.80169000000001</v>
      </c>
      <c r="E98" s="34">
        <f t="shared" si="3"/>
        <v>13.944207135176869</v>
      </c>
      <c r="F98" s="34">
        <f t="shared" si="4"/>
        <v>-3497.9808000000003</v>
      </c>
      <c r="G98" s="151">
        <f>4064.78249-C98</f>
        <v>0</v>
      </c>
      <c r="H98" s="473">
        <f>566.80169-D98</f>
        <v>0</v>
      </c>
    </row>
    <row r="99" spans="1:8" ht="20.25" customHeight="1">
      <c r="C99" s="126"/>
      <c r="D99" s="101"/>
    </row>
    <row r="100" spans="1:8" s="65" customFormat="1" ht="13.5" customHeight="1">
      <c r="A100" s="63" t="s">
        <v>120</v>
      </c>
      <c r="B100" s="63"/>
      <c r="C100" s="116"/>
      <c r="D100" s="64"/>
      <c r="E100" s="64"/>
    </row>
    <row r="101" spans="1:8" s="65" customFormat="1" ht="12.75">
      <c r="A101" s="66" t="s">
        <v>121</v>
      </c>
      <c r="B101" s="66"/>
      <c r="C101" s="134" t="s">
        <v>122</v>
      </c>
      <c r="D101" s="134"/>
    </row>
    <row r="102" spans="1:8">
      <c r="C102" s="120"/>
    </row>
    <row r="104" spans="1:8" ht="5.25" customHeight="1"/>
  </sheetData>
  <customSheetViews>
    <customSheetView guid="{35821C05-60FE-4C33-8558-8CF10812F6FC}" hiddenRows="1" topLeftCell="A37">
      <selection activeCell="B100" sqref="B100"/>
      <pageMargins left="0.7" right="0.7" top="0.75" bottom="0.75" header="0.3" footer="0.3"/>
      <pageSetup paperSize="9" scale="54" orientation="portrait" r:id="rId1"/>
    </customSheetView>
    <customSheetView guid="{B31C8DB7-3E78-4144-A6B5-8DE36DE63F0E}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61528DAC-5C4C-48F4-ADE2-8A724B05A086}" scale="70" showPageBreaks="1" hiddenRows="1" view="pageBreakPreview" topLeftCell="A27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3"/>
    </customSheetView>
    <customSheetView guid="{B30CE22D-C12F-4E12-8BB9-3AAE0A6991CC}" scale="70" showPageBreaks="1" hiddenRows="1" view="pageBreakPreview" topLeftCell="A29">
      <selection activeCell="A71" sqref="A71:XFD71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5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8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9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03"/>
  <sheetViews>
    <sheetView topLeftCell="A25" zoomScaleNormal="100" zoomScaleSheetLayoutView="70" workbookViewId="0">
      <selection activeCell="D41" sqref="D4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439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2613.5920000000001</v>
      </c>
      <c r="D4" s="5">
        <f>D5+D12+D14+D17+D7</f>
        <v>456.36157000000003</v>
      </c>
      <c r="E4" s="5">
        <f>SUM(D4/C4*100)</f>
        <v>17.461086887318299</v>
      </c>
      <c r="F4" s="5">
        <f>SUM(D4-C4)</f>
        <v>-2157.2304300000001</v>
      </c>
    </row>
    <row r="5" spans="1:6" s="6" customFormat="1">
      <c r="A5" s="68">
        <v>1010000000</v>
      </c>
      <c r="B5" s="67" t="s">
        <v>6</v>
      </c>
      <c r="C5" s="5">
        <f>C6</f>
        <v>132.63200000000001</v>
      </c>
      <c r="D5" s="5">
        <f>D6</f>
        <v>24.145299999999999</v>
      </c>
      <c r="E5" s="5">
        <f t="shared" ref="E5:E50" si="0">SUM(D5/C5*100)</f>
        <v>18.204731889740032</v>
      </c>
      <c r="F5" s="5">
        <f t="shared" ref="F5:F50" si="1">SUM(D5-C5)</f>
        <v>-108.48670000000001</v>
      </c>
    </row>
    <row r="6" spans="1:6">
      <c r="A6" s="7">
        <v>1010200001</v>
      </c>
      <c r="B6" s="8" t="s">
        <v>229</v>
      </c>
      <c r="C6" s="9">
        <v>132.63200000000001</v>
      </c>
      <c r="D6" s="10">
        <v>24.145299999999999</v>
      </c>
      <c r="E6" s="9">
        <f t="shared" ref="E6:E11" si="2">SUM(D6/C6*100)</f>
        <v>18.204731889740032</v>
      </c>
      <c r="F6" s="9">
        <f t="shared" si="1"/>
        <v>-108.48670000000001</v>
      </c>
    </row>
    <row r="7" spans="1:6" ht="31.5">
      <c r="A7" s="3">
        <v>1030000000</v>
      </c>
      <c r="B7" s="13" t="s">
        <v>281</v>
      </c>
      <c r="C7" s="5">
        <f>C8+C10+C9</f>
        <v>499.96000000000004</v>
      </c>
      <c r="D7" s="5">
        <f>D8+D10+D9+D11</f>
        <v>146.72063000000003</v>
      </c>
      <c r="E7" s="5">
        <f t="shared" si="2"/>
        <v>29.346473717897435</v>
      </c>
      <c r="F7" s="5">
        <f t="shared" si="1"/>
        <v>-353.23937000000001</v>
      </c>
    </row>
    <row r="8" spans="1:6">
      <c r="A8" s="7">
        <v>1030223001</v>
      </c>
      <c r="B8" s="8" t="s">
        <v>283</v>
      </c>
      <c r="C8" s="9">
        <v>186.49</v>
      </c>
      <c r="D8" s="10">
        <v>64.453320000000005</v>
      </c>
      <c r="E8" s="9">
        <f t="shared" si="2"/>
        <v>34.561274062952442</v>
      </c>
      <c r="F8" s="9">
        <f t="shared" si="1"/>
        <v>-122.03668</v>
      </c>
    </row>
    <row r="9" spans="1:6">
      <c r="A9" s="7">
        <v>1030224001</v>
      </c>
      <c r="B9" s="8" t="s">
        <v>289</v>
      </c>
      <c r="C9" s="9">
        <v>2</v>
      </c>
      <c r="D9" s="10">
        <v>0.45034000000000002</v>
      </c>
      <c r="E9" s="9">
        <f t="shared" si="2"/>
        <v>22.516999999999999</v>
      </c>
      <c r="F9" s="9">
        <f t="shared" si="1"/>
        <v>-1.54966</v>
      </c>
    </row>
    <row r="10" spans="1:6">
      <c r="A10" s="7">
        <v>1030225001</v>
      </c>
      <c r="B10" s="8" t="s">
        <v>282</v>
      </c>
      <c r="C10" s="9">
        <v>311.47000000000003</v>
      </c>
      <c r="D10" s="10">
        <v>94.501869999999997</v>
      </c>
      <c r="E10" s="9">
        <f t="shared" si="2"/>
        <v>30.340601020965096</v>
      </c>
      <c r="F10" s="9">
        <f t="shared" si="1"/>
        <v>-216.96813000000003</v>
      </c>
    </row>
    <row r="11" spans="1:6">
      <c r="A11" s="7">
        <v>1030226001</v>
      </c>
      <c r="B11" s="8" t="s">
        <v>291</v>
      </c>
      <c r="C11" s="9">
        <v>0</v>
      </c>
      <c r="D11" s="10">
        <v>-12.684900000000001</v>
      </c>
      <c r="E11" s="9" t="e">
        <f t="shared" si="2"/>
        <v>#DIV/0!</v>
      </c>
      <c r="F11" s="9">
        <f t="shared" si="1"/>
        <v>-12.684900000000001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9.3018000000000001</v>
      </c>
      <c r="E12" s="5">
        <f t="shared" si="0"/>
        <v>23.2545</v>
      </c>
      <c r="F12" s="5">
        <f t="shared" si="1"/>
        <v>-30.6982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9.3018000000000001</v>
      </c>
      <c r="E13" s="9">
        <f t="shared" si="0"/>
        <v>23.2545</v>
      </c>
      <c r="F13" s="9">
        <f t="shared" si="1"/>
        <v>-30.6982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1929</v>
      </c>
      <c r="D14" s="5">
        <f>D15+D16</f>
        <v>273.19384000000002</v>
      </c>
      <c r="E14" s="5">
        <f t="shared" si="0"/>
        <v>14.162459305339556</v>
      </c>
      <c r="F14" s="5">
        <f t="shared" si="1"/>
        <v>-1655.8061600000001</v>
      </c>
    </row>
    <row r="15" spans="1:6" s="6" customFormat="1" ht="15.75" customHeight="1">
      <c r="A15" s="7">
        <v>1060100000</v>
      </c>
      <c r="B15" s="11" t="s">
        <v>9</v>
      </c>
      <c r="C15" s="9">
        <v>229</v>
      </c>
      <c r="D15" s="10">
        <v>9.0194899999999993</v>
      </c>
      <c r="E15" s="9">
        <f t="shared" si="0"/>
        <v>3.9386419213973798</v>
      </c>
      <c r="F15" s="9">
        <f>SUM(D15-C15)</f>
        <v>-219.98051000000001</v>
      </c>
    </row>
    <row r="16" spans="1:6" ht="15.75" customHeight="1">
      <c r="A16" s="7">
        <v>1060600000</v>
      </c>
      <c r="B16" s="11" t="s">
        <v>8</v>
      </c>
      <c r="C16" s="9">
        <v>1700</v>
      </c>
      <c r="D16" s="10">
        <v>264.17435</v>
      </c>
      <c r="E16" s="9">
        <f t="shared" si="0"/>
        <v>15.539667647058824</v>
      </c>
      <c r="F16" s="9">
        <f t="shared" si="1"/>
        <v>-1435.82565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3</v>
      </c>
      <c r="E17" s="5">
        <f t="shared" si="0"/>
        <v>25</v>
      </c>
      <c r="F17" s="5">
        <f t="shared" si="1"/>
        <v>-9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3</v>
      </c>
      <c r="E18" s="9">
        <f t="shared" si="0"/>
        <v>25</v>
      </c>
      <c r="F18" s="9">
        <f t="shared" si="1"/>
        <v>-9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275.10000000000002</v>
      </c>
      <c r="D25" s="5">
        <f>D26+D29+D31+D36+D34</f>
        <v>50.015159999999995</v>
      </c>
      <c r="E25" s="5">
        <f t="shared" si="0"/>
        <v>18.180719738276988</v>
      </c>
      <c r="F25" s="5">
        <f t="shared" si="1"/>
        <v>-225.08484000000004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275.10000000000002</v>
      </c>
      <c r="D26" s="5">
        <f>D27+D28</f>
        <v>31.408249999999999</v>
      </c>
      <c r="E26" s="5">
        <f t="shared" si="0"/>
        <v>11.417030170846964</v>
      </c>
      <c r="F26" s="5">
        <f t="shared" si="1"/>
        <v>-243.69175000000001</v>
      </c>
    </row>
    <row r="27" spans="1:6">
      <c r="A27" s="16">
        <v>1110502510</v>
      </c>
      <c r="B27" s="17" t="s">
        <v>226</v>
      </c>
      <c r="C27" s="12">
        <v>224.4</v>
      </c>
      <c r="D27" s="10">
        <v>4.4740000000000002</v>
      </c>
      <c r="E27" s="9">
        <f t="shared" si="0"/>
        <v>1.9937611408199645</v>
      </c>
      <c r="F27" s="9">
        <f t="shared" si="1"/>
        <v>-219.92600000000002</v>
      </c>
    </row>
    <row r="28" spans="1:6">
      <c r="A28" s="7">
        <v>1110503510</v>
      </c>
      <c r="B28" s="11" t="s">
        <v>225</v>
      </c>
      <c r="C28" s="12">
        <v>50.7</v>
      </c>
      <c r="D28" s="10">
        <v>26.934249999999999</v>
      </c>
      <c r="E28" s="9">
        <f t="shared" si="0"/>
        <v>53.124753451676519</v>
      </c>
      <c r="F28" s="9">
        <f t="shared" si="1"/>
        <v>-23.765750000000004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18.606909999999999</v>
      </c>
      <c r="E29" s="5" t="e">
        <f t="shared" si="0"/>
        <v>#DIV/0!</v>
      </c>
      <c r="F29" s="5">
        <f t="shared" si="1"/>
        <v>18.606909999999999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18.606909999999999</v>
      </c>
      <c r="E30" s="9" t="e">
        <f t="shared" si="0"/>
        <v>#DIV/0!</v>
      </c>
      <c r="F30" s="9">
        <f t="shared" si="1"/>
        <v>18.606909999999999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9">
        <v>0</v>
      </c>
      <c r="D34" s="14">
        <f>D35</f>
        <v>0</v>
      </c>
      <c r="E34" s="9" t="e">
        <f t="shared" si="0"/>
        <v>#DIV/0!</v>
      </c>
      <c r="F34" s="9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2888.692</v>
      </c>
      <c r="D39" s="127">
        <f>SUM(D4,D25)</f>
        <v>506.37673000000001</v>
      </c>
      <c r="E39" s="5">
        <f t="shared" si="0"/>
        <v>17.529619980254036</v>
      </c>
      <c r="F39" s="5">
        <f t="shared" si="1"/>
        <v>-2382.3152700000001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2885.3386199999995</v>
      </c>
      <c r="D40" s="5">
        <f>SUM(D41:D48)</f>
        <v>416.822</v>
      </c>
      <c r="E40" s="5">
        <f t="shared" si="0"/>
        <v>14.446207357110829</v>
      </c>
      <c r="F40" s="5">
        <f t="shared" si="1"/>
        <v>-2468.5166199999994</v>
      </c>
      <c r="G40" s="19"/>
    </row>
    <row r="41" spans="1:7" ht="15" customHeight="1">
      <c r="A41" s="16">
        <v>2021000000</v>
      </c>
      <c r="B41" s="17" t="s">
        <v>21</v>
      </c>
      <c r="C41" s="12">
        <v>767.8</v>
      </c>
      <c r="D41" s="439">
        <v>191.94900000000001</v>
      </c>
      <c r="E41" s="9">
        <f t="shared" si="0"/>
        <v>24.999869757749419</v>
      </c>
      <c r="F41" s="9">
        <f t="shared" si="1"/>
        <v>-575.85099999999989</v>
      </c>
    </row>
    <row r="42" spans="1:7" ht="15" customHeight="1">
      <c r="A42" s="16">
        <v>2021500200</v>
      </c>
      <c r="B42" s="17" t="s">
        <v>232</v>
      </c>
      <c r="C42" s="12">
        <v>170</v>
      </c>
      <c r="D42" s="20">
        <v>0</v>
      </c>
      <c r="E42" s="9">
        <f>SUM(D42/C42*100)</f>
        <v>0</v>
      </c>
      <c r="F42" s="9">
        <f>SUM(D42-C42)</f>
        <v>-170</v>
      </c>
    </row>
    <row r="43" spans="1:7">
      <c r="A43" s="16">
        <v>2022000000</v>
      </c>
      <c r="B43" s="17" t="s">
        <v>22</v>
      </c>
      <c r="C43" s="12">
        <v>1855.8026199999999</v>
      </c>
      <c r="D43" s="10">
        <v>202.62200000000001</v>
      </c>
      <c r="E43" s="9">
        <f t="shared" si="0"/>
        <v>10.918294748393018</v>
      </c>
      <c r="F43" s="9">
        <f t="shared" si="1"/>
        <v>-1653.1806199999999</v>
      </c>
    </row>
    <row r="44" spans="1:7" ht="18.75" customHeight="1">
      <c r="A44" s="16">
        <v>2023000000</v>
      </c>
      <c r="B44" s="17" t="s">
        <v>23</v>
      </c>
      <c r="C44" s="12">
        <v>91.736000000000004</v>
      </c>
      <c r="D44" s="250">
        <v>22.251000000000001</v>
      </c>
      <c r="E44" s="9">
        <f t="shared" si="0"/>
        <v>24.255472224644635</v>
      </c>
      <c r="F44" s="9">
        <f t="shared" si="1"/>
        <v>-69.484999999999999</v>
      </c>
    </row>
    <row r="45" spans="1:7" ht="17.25" customHeight="1">
      <c r="A45" s="16">
        <v>2020400000</v>
      </c>
      <c r="B45" s="17" t="s">
        <v>24</v>
      </c>
      <c r="C45" s="12">
        <v>0</v>
      </c>
      <c r="D45" s="251">
        <v>0</v>
      </c>
      <c r="E45" s="9" t="e">
        <f t="shared" si="0"/>
        <v>#DIV/0!</v>
      </c>
      <c r="F45" s="9">
        <f t="shared" si="1"/>
        <v>0</v>
      </c>
    </row>
    <row r="46" spans="1:7" ht="16.5" customHeight="1">
      <c r="A46" s="16">
        <v>2020900000</v>
      </c>
      <c r="B46" s="18" t="s">
        <v>25</v>
      </c>
      <c r="C46" s="12"/>
      <c r="D46" s="25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26</v>
      </c>
      <c r="C47" s="10">
        <v>0</v>
      </c>
      <c r="D47" s="441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303</v>
      </c>
      <c r="C48" s="10">
        <v>0</v>
      </c>
      <c r="D48" s="10">
        <v>0</v>
      </c>
      <c r="E48" s="9" t="e">
        <f>SUM(D48/C48*100)</f>
        <v>#DIV/0!</v>
      </c>
      <c r="F48" s="9">
        <f>SUM(D48-C48)</f>
        <v>0</v>
      </c>
    </row>
    <row r="49" spans="1:8" s="6" customFormat="1" hidden="1">
      <c r="A49" s="352">
        <v>2190000010</v>
      </c>
      <c r="B49" s="353" t="s">
        <v>26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28</v>
      </c>
      <c r="C50" s="93">
        <f>C39+C40</f>
        <v>5774.0306199999995</v>
      </c>
      <c r="D50" s="471">
        <f>D39+D40</f>
        <v>923.19873000000007</v>
      </c>
      <c r="E50" s="5">
        <f t="shared" si="0"/>
        <v>15.988809044452212</v>
      </c>
      <c r="F50" s="5">
        <f t="shared" si="1"/>
        <v>-4850.8318899999995</v>
      </c>
      <c r="G50" s="94">
        <f>5774.03062-C50</f>
        <v>0</v>
      </c>
      <c r="H50" s="472">
        <f>923.19873-D50</f>
        <v>0</v>
      </c>
    </row>
    <row r="51" spans="1:8" s="6" customFormat="1">
      <c r="A51" s="3"/>
      <c r="B51" s="21" t="s">
        <v>321</v>
      </c>
      <c r="C51" s="93">
        <f>C50-C97</f>
        <v>-182.90052000000014</v>
      </c>
      <c r="D51" s="93">
        <f>D50-D97</f>
        <v>27.311410000000137</v>
      </c>
      <c r="E51" s="22"/>
      <c r="F51" s="22"/>
    </row>
    <row r="52" spans="1:8">
      <c r="A52" s="23"/>
      <c r="B52" s="24"/>
      <c r="C52" s="349"/>
      <c r="D52" s="349" t="s">
        <v>337</v>
      </c>
      <c r="E52" s="26"/>
      <c r="F52" s="92"/>
    </row>
    <row r="53" spans="1:8" ht="50.25" customHeight="1">
      <c r="A53" s="28" t="s">
        <v>1</v>
      </c>
      <c r="B53" s="28" t="s">
        <v>29</v>
      </c>
      <c r="C53" s="242" t="s">
        <v>412</v>
      </c>
      <c r="D53" s="243" t="s">
        <v>419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30.75" customHeight="1">
      <c r="A55" s="30" t="s">
        <v>30</v>
      </c>
      <c r="B55" s="31" t="s">
        <v>31</v>
      </c>
      <c r="C55" s="245">
        <f>C56+C57+C58+C59+C60+C62+C61</f>
        <v>1434.2819999999999</v>
      </c>
      <c r="D55" s="32">
        <f>D56+D57+D58+D59+D60+D62+D61</f>
        <v>283.10299000000003</v>
      </c>
      <c r="E55" s="34">
        <f>SUM(D55/C55*100)</f>
        <v>19.738307390039061</v>
      </c>
      <c r="F55" s="34">
        <f>SUM(D55-C55)</f>
        <v>-1151.1790099999998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34</v>
      </c>
      <c r="B57" s="39" t="s">
        <v>35</v>
      </c>
      <c r="C57" s="37">
        <v>1425.6</v>
      </c>
      <c r="D57" s="37">
        <v>279.42099000000002</v>
      </c>
      <c r="E57" s="34">
        <f>SUM(D57/C57*100)</f>
        <v>19.600237794612795</v>
      </c>
      <c r="F57" s="38">
        <f t="shared" ref="F57:F97" si="3">SUM(D57-C57)</f>
        <v>-1146.1790099999998</v>
      </c>
    </row>
    <row r="58" spans="1:8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8" ht="19.5" customHeight="1">
      <c r="A62" s="35" t="s">
        <v>44</v>
      </c>
      <c r="B62" s="39" t="s">
        <v>45</v>
      </c>
      <c r="C62" s="37">
        <v>3.6819999999999999</v>
      </c>
      <c r="D62" s="37">
        <v>3.6819999999999999</v>
      </c>
      <c r="E62" s="38">
        <f t="shared" si="4"/>
        <v>100</v>
      </c>
      <c r="F62" s="38">
        <f t="shared" si="3"/>
        <v>0</v>
      </c>
    </row>
    <row r="63" spans="1:8" s="6" customFormat="1">
      <c r="A63" s="41" t="s">
        <v>46</v>
      </c>
      <c r="B63" s="42" t="s">
        <v>47</v>
      </c>
      <c r="C63" s="32">
        <f>C64</f>
        <v>89.945999999999998</v>
      </c>
      <c r="D63" s="32">
        <f>D64</f>
        <v>16.686579999999999</v>
      </c>
      <c r="E63" s="34">
        <f t="shared" si="4"/>
        <v>18.551775509750293</v>
      </c>
      <c r="F63" s="34">
        <f t="shared" si="3"/>
        <v>-73.259420000000006</v>
      </c>
    </row>
    <row r="64" spans="1:8">
      <c r="A64" s="43" t="s">
        <v>48</v>
      </c>
      <c r="B64" s="44" t="s">
        <v>49</v>
      </c>
      <c r="C64" s="37">
        <v>89.945999999999998</v>
      </c>
      <c r="D64" s="37">
        <v>16.686579999999999</v>
      </c>
      <c r="E64" s="38">
        <f t="shared" si="4"/>
        <v>18.551775509750293</v>
      </c>
      <c r="F64" s="38">
        <f t="shared" si="3"/>
        <v>-73.259420000000006</v>
      </c>
    </row>
    <row r="65" spans="1:7" s="6" customFormat="1" ht="21" customHeight="1">
      <c r="A65" s="30" t="s">
        <v>50</v>
      </c>
      <c r="B65" s="31" t="s">
        <v>51</v>
      </c>
      <c r="C65" s="32">
        <f>C68+C69+C70</f>
        <v>19.715</v>
      </c>
      <c r="D65" s="32">
        <f>D68+D69</f>
        <v>1.5</v>
      </c>
      <c r="E65" s="34">
        <f t="shared" si="4"/>
        <v>7.6084199847831604</v>
      </c>
      <c r="F65" s="34">
        <f t="shared" si="3"/>
        <v>-18.215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17.715</v>
      </c>
      <c r="D69" s="37">
        <v>1.5</v>
      </c>
      <c r="E69" s="34">
        <f t="shared" si="4"/>
        <v>8.4674005080440296</v>
      </c>
      <c r="F69" s="34">
        <f t="shared" si="3"/>
        <v>-16.215</v>
      </c>
    </row>
    <row r="70" spans="1:7">
      <c r="A70" s="46" t="s">
        <v>358</v>
      </c>
      <c r="B70" s="47" t="s">
        <v>415</v>
      </c>
      <c r="C70" s="37">
        <v>2</v>
      </c>
      <c r="D70" s="37"/>
      <c r="E70" s="34"/>
      <c r="F70" s="34"/>
    </row>
    <row r="71" spans="1:7" s="6" customFormat="1" ht="17.25" customHeight="1">
      <c r="A71" s="30" t="s">
        <v>58</v>
      </c>
      <c r="B71" s="31" t="s">
        <v>59</v>
      </c>
      <c r="C71" s="48">
        <f>SUM(C72:C75)</f>
        <v>2999.12104</v>
      </c>
      <c r="D71" s="48">
        <f>SUM(D72:D75)</f>
        <v>312.76402000000002</v>
      </c>
      <c r="E71" s="34">
        <f t="shared" si="4"/>
        <v>10.428522751452538</v>
      </c>
      <c r="F71" s="34">
        <f t="shared" si="3"/>
        <v>-2686.3570199999999</v>
      </c>
    </row>
    <row r="72" spans="1:7">
      <c r="A72" s="35" t="s">
        <v>60</v>
      </c>
      <c r="B72" s="39" t="s">
        <v>61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62</v>
      </c>
      <c r="B73" s="39" t="s">
        <v>63</v>
      </c>
      <c r="C73" s="49">
        <v>989.68582000000004</v>
      </c>
      <c r="D73" s="37">
        <v>41.77102</v>
      </c>
      <c r="E73" s="38">
        <f t="shared" si="4"/>
        <v>4.2206343827377459</v>
      </c>
      <c r="F73" s="38">
        <f t="shared" si="3"/>
        <v>-947.91480000000001</v>
      </c>
      <c r="G73" s="50"/>
    </row>
    <row r="74" spans="1:7">
      <c r="A74" s="35" t="s">
        <v>64</v>
      </c>
      <c r="B74" s="39" t="s">
        <v>65</v>
      </c>
      <c r="C74" s="49">
        <v>1975.41372</v>
      </c>
      <c r="D74" s="37">
        <v>270.99299999999999</v>
      </c>
      <c r="E74" s="38">
        <f t="shared" si="4"/>
        <v>13.718290870228438</v>
      </c>
      <c r="F74" s="38">
        <f t="shared" si="3"/>
        <v>-1704.4207200000001</v>
      </c>
    </row>
    <row r="75" spans="1:7">
      <c r="A75" s="35" t="s">
        <v>66</v>
      </c>
      <c r="B75" s="39" t="s">
        <v>67</v>
      </c>
      <c r="C75" s="49">
        <v>30</v>
      </c>
      <c r="D75" s="37">
        <v>0</v>
      </c>
      <c r="E75" s="38">
        <f t="shared" si="4"/>
        <v>0</v>
      </c>
      <c r="F75" s="38">
        <f t="shared" si="3"/>
        <v>-30</v>
      </c>
    </row>
    <row r="76" spans="1:7" s="6" customFormat="1" ht="16.5" customHeight="1">
      <c r="A76" s="30" t="s">
        <v>68</v>
      </c>
      <c r="B76" s="31" t="s">
        <v>69</v>
      </c>
      <c r="C76" s="32">
        <f>SUM(C77:C79)</f>
        <v>370.6671</v>
      </c>
      <c r="D76" s="32">
        <f>SUM(D77:D79)</f>
        <v>17.763729999999999</v>
      </c>
      <c r="E76" s="34">
        <f t="shared" si="4"/>
        <v>4.7923675988508281</v>
      </c>
      <c r="F76" s="34">
        <f t="shared" si="3"/>
        <v>-352.90337</v>
      </c>
    </row>
    <row r="77" spans="1:7" ht="0.7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74</v>
      </c>
      <c r="B79" s="39" t="s">
        <v>75</v>
      </c>
      <c r="C79" s="37">
        <v>370.6671</v>
      </c>
      <c r="D79" s="37">
        <v>17.763729999999999</v>
      </c>
      <c r="E79" s="38">
        <f t="shared" si="4"/>
        <v>4.7923675988508281</v>
      </c>
      <c r="F79" s="38">
        <f t="shared" si="3"/>
        <v>-352.90337</v>
      </c>
    </row>
    <row r="80" spans="1:7" s="6" customFormat="1">
      <c r="A80" s="30" t="s">
        <v>86</v>
      </c>
      <c r="B80" s="31" t="s">
        <v>87</v>
      </c>
      <c r="C80" s="32">
        <f>C81</f>
        <v>1028.2</v>
      </c>
      <c r="D80" s="32">
        <f>SUM(D81)</f>
        <v>255.77699999999999</v>
      </c>
      <c r="E80" s="34">
        <f t="shared" si="4"/>
        <v>24.876191402450885</v>
      </c>
      <c r="F80" s="34">
        <f t="shared" si="3"/>
        <v>-772.423</v>
      </c>
    </row>
    <row r="81" spans="1:6" ht="15.75" customHeight="1">
      <c r="A81" s="35" t="s">
        <v>88</v>
      </c>
      <c r="B81" s="39" t="s">
        <v>234</v>
      </c>
      <c r="C81" s="37">
        <v>1028.2</v>
      </c>
      <c r="D81" s="37">
        <v>255.77699999999999</v>
      </c>
      <c r="E81" s="38">
        <f t="shared" si="4"/>
        <v>24.876191402450885</v>
      </c>
      <c r="F81" s="38">
        <f t="shared" si="3"/>
        <v>-772.423</v>
      </c>
    </row>
    <row r="82" spans="1:6" s="6" customFormat="1" ht="0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90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92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95</v>
      </c>
      <c r="B87" s="31" t="s">
        <v>96</v>
      </c>
      <c r="C87" s="32">
        <f>C88+C89+C90+C91+C92</f>
        <v>15</v>
      </c>
      <c r="D87" s="32">
        <f>D88+D89+D90+D91+D92</f>
        <v>8.2929999999999993</v>
      </c>
      <c r="E87" s="38">
        <f t="shared" si="4"/>
        <v>55.286666666666662</v>
      </c>
      <c r="F87" s="22">
        <f>F88+F89+F90+F91+F92</f>
        <v>-6.7070000000000007</v>
      </c>
    </row>
    <row r="88" spans="1:6" ht="17.25" customHeight="1">
      <c r="A88" s="35" t="s">
        <v>97</v>
      </c>
      <c r="B88" s="39" t="s">
        <v>98</v>
      </c>
      <c r="C88" s="37">
        <v>15</v>
      </c>
      <c r="D88" s="37">
        <v>8.2929999999999993</v>
      </c>
      <c r="E88" s="38">
        <f t="shared" si="4"/>
        <v>55.286666666666662</v>
      </c>
      <c r="F88" s="38">
        <f>SUM(D88-C88)</f>
        <v>-6.7070000000000007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119</v>
      </c>
      <c r="C97" s="375">
        <f>C55+C63+C71+C76+C80+C82+C87+C65+C93</f>
        <v>5956.9311399999997</v>
      </c>
      <c r="D97" s="375">
        <f>D55+D63+D71+D76+D80+D82+D87+D65+D93</f>
        <v>895.88731999999993</v>
      </c>
      <c r="E97" s="34">
        <f t="shared" si="4"/>
        <v>15.03941037666586</v>
      </c>
      <c r="F97" s="34">
        <f t="shared" si="3"/>
        <v>-5061.0438199999999</v>
      </c>
      <c r="G97" s="292">
        <f>5956.93114-C97</f>
        <v>0</v>
      </c>
      <c r="H97" s="292">
        <f>895.88732-D97</f>
        <v>0</v>
      </c>
    </row>
    <row r="98" spans="1:8">
      <c r="C98" s="126"/>
      <c r="D98" s="101"/>
    </row>
    <row r="99" spans="1:8" s="65" customFormat="1" ht="16.5" customHeight="1">
      <c r="A99" s="63" t="s">
        <v>120</v>
      </c>
      <c r="B99" s="63"/>
      <c r="C99" s="248"/>
      <c r="D99" s="248"/>
      <c r="E99" s="64"/>
    </row>
    <row r="100" spans="1:8" s="65" customFormat="1" ht="20.25" customHeight="1">
      <c r="A100" s="66" t="s">
        <v>121</v>
      </c>
      <c r="B100" s="66"/>
      <c r="C100" s="65" t="s">
        <v>122</v>
      </c>
    </row>
    <row r="101" spans="1:8" ht="13.5" customHeight="1">
      <c r="C101" s="120"/>
    </row>
    <row r="103" spans="1:8" ht="5.25" customHeight="1"/>
  </sheetData>
  <customSheetViews>
    <customSheetView guid="{35821C05-60FE-4C33-8558-8CF10812F6FC}" hiddenRows="1" topLeftCell="A25">
      <selection activeCell="D41" sqref="D41"/>
      <pageMargins left="0.7" right="0.7" top="0.75" bottom="0.75" header="0.3" footer="0.3"/>
      <pageSetup paperSize="9" scale="57" orientation="portrait" r:id="rId1"/>
    </customSheetView>
    <customSheetView guid="{B31C8DB7-3E78-4144-A6B5-8DE36DE63F0E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61528DAC-5C4C-48F4-ADE2-8A724B05A086}" scale="70" showPageBreaks="1" printArea="1" hiddenRows="1" view="pageBreakPreview" topLeftCell="A30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3"/>
    </customSheetView>
    <customSheetView guid="{B30CE22D-C12F-4E12-8BB9-3AAE0A6991CC}" scale="70" showPageBreaks="1" printArea="1" hiddenRows="1" view="pageBreakPreview" topLeftCell="A30">
      <selection activeCell="A70" sqref="A70:XFD70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6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7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9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03"/>
  <sheetViews>
    <sheetView topLeftCell="A32" zoomScaleNormal="100" zoomScaleSheetLayoutView="70" workbookViewId="0">
      <selection activeCell="J56" sqref="J56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426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1272.8040000000001</v>
      </c>
      <c r="D4" s="5">
        <f>D5+D12+D14+D17+D7</f>
        <v>235.11483999999999</v>
      </c>
      <c r="E4" s="5">
        <f>SUM(D4/C4*100)</f>
        <v>18.472195247657925</v>
      </c>
      <c r="F4" s="5">
        <f>SUM(D4-C4)</f>
        <v>-1037.6891600000001</v>
      </c>
    </row>
    <row r="5" spans="1:6" s="6" customFormat="1">
      <c r="A5" s="68">
        <v>1010000000</v>
      </c>
      <c r="B5" s="67" t="s">
        <v>6</v>
      </c>
      <c r="C5" s="5">
        <f>C6</f>
        <v>132.44399999999999</v>
      </c>
      <c r="D5" s="5">
        <f>D6</f>
        <v>19.199529999999999</v>
      </c>
      <c r="E5" s="5">
        <f t="shared" ref="E5:E52" si="0">SUM(D5/C5*100)</f>
        <v>14.496338074959983</v>
      </c>
      <c r="F5" s="5">
        <f t="shared" ref="F5:F52" si="1">SUM(D5-C5)</f>
        <v>-113.24446999999999</v>
      </c>
    </row>
    <row r="6" spans="1:6">
      <c r="A6" s="7">
        <v>1010200001</v>
      </c>
      <c r="B6" s="8" t="s">
        <v>229</v>
      </c>
      <c r="C6" s="9">
        <v>132.44399999999999</v>
      </c>
      <c r="D6" s="10">
        <v>19.199529999999999</v>
      </c>
      <c r="E6" s="9">
        <f t="shared" ref="E6:E11" si="2">SUM(D6/C6*100)</f>
        <v>14.496338074959983</v>
      </c>
      <c r="F6" s="9">
        <f t="shared" si="1"/>
        <v>-113.24446999999999</v>
      </c>
    </row>
    <row r="7" spans="1:6" ht="31.5">
      <c r="A7" s="3">
        <v>1030000000</v>
      </c>
      <c r="B7" s="13" t="s">
        <v>281</v>
      </c>
      <c r="C7" s="5">
        <f>C8+C10+C9</f>
        <v>672.36</v>
      </c>
      <c r="D7" s="341">
        <f>D8+D10+D9+D11</f>
        <v>197.31393999999997</v>
      </c>
      <c r="E7" s="5">
        <f t="shared" si="2"/>
        <v>29.346472128026647</v>
      </c>
      <c r="F7" s="5">
        <f t="shared" si="1"/>
        <v>-475.04606000000001</v>
      </c>
    </row>
    <row r="8" spans="1:6">
      <c r="A8" s="7">
        <v>1030223001</v>
      </c>
      <c r="B8" s="8" t="s">
        <v>283</v>
      </c>
      <c r="C8" s="9">
        <v>250.79</v>
      </c>
      <c r="D8" s="10">
        <v>86.678600000000003</v>
      </c>
      <c r="E8" s="9">
        <f t="shared" si="2"/>
        <v>34.56222337413773</v>
      </c>
      <c r="F8" s="9">
        <f t="shared" si="1"/>
        <v>-164.1114</v>
      </c>
    </row>
    <row r="9" spans="1:6">
      <c r="A9" s="7">
        <v>1030224001</v>
      </c>
      <c r="B9" s="8" t="s">
        <v>289</v>
      </c>
      <c r="C9" s="9">
        <v>2.69</v>
      </c>
      <c r="D9" s="10">
        <v>0.60563</v>
      </c>
      <c r="E9" s="9">
        <f t="shared" si="2"/>
        <v>22.514126394052045</v>
      </c>
      <c r="F9" s="9">
        <f t="shared" si="1"/>
        <v>-2.0843699999999998</v>
      </c>
    </row>
    <row r="10" spans="1:6">
      <c r="A10" s="7">
        <v>1030225001</v>
      </c>
      <c r="B10" s="8" t="s">
        <v>282</v>
      </c>
      <c r="C10" s="9">
        <v>418.88</v>
      </c>
      <c r="D10" s="10">
        <v>127.08872</v>
      </c>
      <c r="E10" s="9">
        <f t="shared" si="2"/>
        <v>30.340126050420167</v>
      </c>
      <c r="F10" s="9">
        <f t="shared" si="1"/>
        <v>-291.79128000000003</v>
      </c>
    </row>
    <row r="11" spans="1:6">
      <c r="A11" s="7">
        <v>1030226001</v>
      </c>
      <c r="B11" s="8" t="s">
        <v>291</v>
      </c>
      <c r="C11" s="9">
        <v>0</v>
      </c>
      <c r="D11" s="10">
        <v>-17.059010000000001</v>
      </c>
      <c r="E11" s="9" t="e">
        <f t="shared" si="2"/>
        <v>#DIV/0!</v>
      </c>
      <c r="F11" s="9">
        <f t="shared" si="1"/>
        <v>-17.059010000000001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0.16428000000000001</v>
      </c>
      <c r="E12" s="5">
        <f t="shared" si="0"/>
        <v>1.6428000000000003</v>
      </c>
      <c r="F12" s="5">
        <f t="shared" si="1"/>
        <v>-9.8357200000000002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0.16428000000000001</v>
      </c>
      <c r="E13" s="9">
        <f t="shared" si="0"/>
        <v>1.6428000000000003</v>
      </c>
      <c r="F13" s="9">
        <f t="shared" si="1"/>
        <v>-9.8357200000000002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453</v>
      </c>
      <c r="D14" s="5">
        <f>D15+D16</f>
        <v>16.83709</v>
      </c>
      <c r="E14" s="5">
        <f t="shared" si="0"/>
        <v>3.7167969094922739</v>
      </c>
      <c r="F14" s="5">
        <f t="shared" si="1"/>
        <v>-436.16291000000001</v>
      </c>
    </row>
    <row r="15" spans="1:6" s="6" customFormat="1" ht="15.75" customHeight="1">
      <c r="A15" s="7">
        <v>1060100000</v>
      </c>
      <c r="B15" s="11" t="s">
        <v>9</v>
      </c>
      <c r="C15" s="9">
        <v>128</v>
      </c>
      <c r="D15" s="10">
        <v>4.2445500000000003</v>
      </c>
      <c r="E15" s="9">
        <f t="shared" si="0"/>
        <v>3.3160546875000003</v>
      </c>
      <c r="F15" s="9">
        <f>SUM(D15-C15)</f>
        <v>-123.75545</v>
      </c>
    </row>
    <row r="16" spans="1:6" ht="15.75" customHeight="1">
      <c r="A16" s="7">
        <v>1060600000</v>
      </c>
      <c r="B16" s="11" t="s">
        <v>8</v>
      </c>
      <c r="C16" s="9">
        <v>325</v>
      </c>
      <c r="D16" s="10">
        <v>12.59254</v>
      </c>
      <c r="E16" s="9">
        <f t="shared" si="0"/>
        <v>3.8746276923076923</v>
      </c>
      <c r="F16" s="9">
        <f t="shared" si="1"/>
        <v>-312.40746000000001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1.6</v>
      </c>
      <c r="E17" s="5">
        <f t="shared" si="0"/>
        <v>32</v>
      </c>
      <c r="F17" s="5">
        <f t="shared" si="1"/>
        <v>-3.4</v>
      </c>
    </row>
    <row r="18" spans="1:6" ht="17.25" customHeight="1">
      <c r="A18" s="7">
        <v>1080400001</v>
      </c>
      <c r="B18" s="8" t="s">
        <v>272</v>
      </c>
      <c r="C18" s="9">
        <v>5</v>
      </c>
      <c r="D18" s="10">
        <v>1.6</v>
      </c>
      <c r="E18" s="9">
        <f t="shared" si="0"/>
        <v>32</v>
      </c>
      <c r="F18" s="9">
        <f t="shared" si="1"/>
        <v>-3.4</v>
      </c>
    </row>
    <row r="19" spans="1:6" ht="49.5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250</v>
      </c>
      <c r="D25" s="5">
        <f>D26+D29+D31+D34</f>
        <v>110.79955</v>
      </c>
      <c r="E25" s="5">
        <f t="shared" si="0"/>
        <v>44.31982</v>
      </c>
      <c r="F25" s="5">
        <f t="shared" si="1"/>
        <v>-139.20044999999999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50</v>
      </c>
      <c r="D26" s="5">
        <f>D27+D28</f>
        <v>6</v>
      </c>
      <c r="E26" s="5">
        <f t="shared" si="0"/>
        <v>12</v>
      </c>
      <c r="F26" s="5">
        <f t="shared" si="1"/>
        <v>-44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50</v>
      </c>
      <c r="D28" s="10">
        <v>6</v>
      </c>
      <c r="E28" s="9">
        <f t="shared" si="0"/>
        <v>12</v>
      </c>
      <c r="F28" s="9">
        <f t="shared" si="1"/>
        <v>-44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200</v>
      </c>
      <c r="D29" s="5">
        <f>D30</f>
        <v>104.79955</v>
      </c>
      <c r="E29" s="5">
        <f t="shared" si="0"/>
        <v>52.399774999999991</v>
      </c>
      <c r="F29" s="5">
        <f t="shared" si="1"/>
        <v>-95.200450000000004</v>
      </c>
    </row>
    <row r="30" spans="1:6" ht="15.75" customHeight="1">
      <c r="A30" s="7">
        <v>1130206005</v>
      </c>
      <c r="B30" s="8" t="s">
        <v>15</v>
      </c>
      <c r="C30" s="9">
        <v>200</v>
      </c>
      <c r="D30" s="10">
        <v>104.79955</v>
      </c>
      <c r="E30" s="9">
        <f t="shared" si="0"/>
        <v>52.399774999999991</v>
      </c>
      <c r="F30" s="9">
        <f t="shared" si="1"/>
        <v>-95.200450000000004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1522.8040000000001</v>
      </c>
      <c r="D37" s="127">
        <f>D4+D25</f>
        <v>345.91438999999997</v>
      </c>
      <c r="E37" s="5">
        <f t="shared" si="0"/>
        <v>22.715621314364814</v>
      </c>
      <c r="F37" s="5">
        <f t="shared" si="1"/>
        <v>-1176.8896100000002</v>
      </c>
    </row>
    <row r="38" spans="1:7" s="6" customFormat="1">
      <c r="A38" s="3">
        <v>2000000000</v>
      </c>
      <c r="B38" s="4" t="s">
        <v>20</v>
      </c>
      <c r="C38" s="5">
        <f>C39+C41+C42+C43+C50+C51</f>
        <v>5775.7916400000004</v>
      </c>
      <c r="D38" s="5">
        <f>D39+D41+D42+D43+D50+D51</f>
        <v>974.23</v>
      </c>
      <c r="E38" s="5">
        <f t="shared" si="0"/>
        <v>16.867471348048834</v>
      </c>
      <c r="F38" s="5">
        <f t="shared" si="1"/>
        <v>-4801.5616399999999</v>
      </c>
      <c r="G38" s="19"/>
    </row>
    <row r="39" spans="1:7" ht="16.5" customHeight="1">
      <c r="A39" s="16">
        <v>2021000000</v>
      </c>
      <c r="B39" s="17" t="s">
        <v>21</v>
      </c>
      <c r="C39" s="12">
        <v>3029</v>
      </c>
      <c r="D39" s="20">
        <v>757.25099999999998</v>
      </c>
      <c r="E39" s="9">
        <v>0</v>
      </c>
      <c r="F39" s="9">
        <f t="shared" si="1"/>
        <v>-2271.7489999999998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687.5</v>
      </c>
      <c r="D41" s="20">
        <v>0</v>
      </c>
      <c r="E41" s="9">
        <f t="shared" si="0"/>
        <v>0</v>
      </c>
      <c r="F41" s="9">
        <f t="shared" si="1"/>
        <v>-687.5</v>
      </c>
    </row>
    <row r="42" spans="1:7">
      <c r="A42" s="16">
        <v>2022000000</v>
      </c>
      <c r="B42" s="17" t="s">
        <v>22</v>
      </c>
      <c r="C42" s="12">
        <v>1876.63464</v>
      </c>
      <c r="D42" s="10">
        <v>172.48</v>
      </c>
      <c r="E42" s="9">
        <f t="shared" si="0"/>
        <v>9.1909206152136242</v>
      </c>
      <c r="F42" s="9">
        <f t="shared" si="1"/>
        <v>-1704.15464</v>
      </c>
    </row>
    <row r="43" spans="1:7" ht="17.25" customHeight="1">
      <c r="A43" s="16">
        <v>2023000000</v>
      </c>
      <c r="B43" s="17" t="s">
        <v>23</v>
      </c>
      <c r="C43" s="12">
        <v>182.65700000000001</v>
      </c>
      <c r="D43" s="250">
        <v>44.499000000000002</v>
      </c>
      <c r="E43" s="9">
        <f t="shared" si="0"/>
        <v>24.362055656229984</v>
      </c>
      <c r="F43" s="9">
        <f t="shared" si="1"/>
        <v>-138.15800000000002</v>
      </c>
    </row>
    <row r="44" spans="1:7" ht="18" hidden="1" customHeight="1">
      <c r="A44" s="16">
        <v>2020400000</v>
      </c>
      <c r="B44" s="17" t="s">
        <v>24</v>
      </c>
      <c r="C44" s="12"/>
      <c r="D44" s="251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1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6">
        <f>C47</f>
        <v>0</v>
      </c>
      <c r="D46" s="350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8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8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8" s="6" customFormat="1" ht="15" customHeight="1">
      <c r="A51" s="7">
        <v>2070500010</v>
      </c>
      <c r="B51" s="11" t="s">
        <v>303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8" s="6" customFormat="1" ht="18" customHeight="1">
      <c r="A52" s="3"/>
      <c r="B52" s="4" t="s">
        <v>28</v>
      </c>
      <c r="C52" s="371">
        <f>C37+C38</f>
        <v>7298.5956400000005</v>
      </c>
      <c r="D52" s="371">
        <f>D37+D38</f>
        <v>1320.1443899999999</v>
      </c>
      <c r="E52" s="5">
        <f t="shared" si="0"/>
        <v>18.087649393329041</v>
      </c>
      <c r="F52" s="5">
        <f t="shared" si="1"/>
        <v>-5978.4512500000001</v>
      </c>
      <c r="G52" s="94">
        <f>7298.59564-C52</f>
        <v>0</v>
      </c>
      <c r="H52" s="292">
        <f>1233.90439-D52</f>
        <v>-86.240000000000009</v>
      </c>
    </row>
    <row r="53" spans="1:8" s="6" customFormat="1">
      <c r="A53" s="3"/>
      <c r="B53" s="21" t="s">
        <v>321</v>
      </c>
      <c r="C53" s="371">
        <f>C52-C99</f>
        <v>-260.56954999999925</v>
      </c>
      <c r="D53" s="371">
        <f>D52-D99</f>
        <v>136.27949999999987</v>
      </c>
      <c r="E53" s="22"/>
      <c r="F53" s="22"/>
    </row>
    <row r="54" spans="1:8">
      <c r="A54" s="23"/>
      <c r="B54" s="24"/>
      <c r="C54" s="115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412</v>
      </c>
      <c r="D55" s="73" t="s">
        <v>427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5" customHeight="1">
      <c r="A57" s="30" t="s">
        <v>30</v>
      </c>
      <c r="B57" s="31" t="s">
        <v>31</v>
      </c>
      <c r="C57" s="32">
        <f>C58+C59+C60+C61+C62+C64+C63</f>
        <v>1234.7919999999999</v>
      </c>
      <c r="D57" s="33">
        <f>D58+D59+D60+D61+D62+D64+D63</f>
        <v>290.02451000000002</v>
      </c>
      <c r="E57" s="34">
        <f>SUM(D57/C57*100)</f>
        <v>23.487721818735466</v>
      </c>
      <c r="F57" s="34">
        <f>SUM(D57-C57)</f>
        <v>-944.76748999999995</v>
      </c>
    </row>
    <row r="58" spans="1:8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8" ht="15" customHeight="1">
      <c r="A59" s="35" t="s">
        <v>34</v>
      </c>
      <c r="B59" s="39" t="s">
        <v>35</v>
      </c>
      <c r="C59" s="37">
        <v>1175.2919999999999</v>
      </c>
      <c r="D59" s="37">
        <v>235.83251000000001</v>
      </c>
      <c r="E59" s="38">
        <f t="shared" ref="E59:E99" si="3">SUM(D59/C59*100)</f>
        <v>20.065865333891495</v>
      </c>
      <c r="F59" s="38">
        <f t="shared" ref="F59:F99" si="4">SUM(D59-C59)</f>
        <v>-939.45948999999996</v>
      </c>
    </row>
    <row r="60" spans="1:8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37">
        <v>54.5</v>
      </c>
      <c r="D64" s="37">
        <v>54.192</v>
      </c>
      <c r="E64" s="38">
        <f t="shared" si="3"/>
        <v>99.434862385321097</v>
      </c>
      <c r="F64" s="38">
        <f t="shared" si="4"/>
        <v>-0.30799999999999983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179.892</v>
      </c>
      <c r="D65" s="32">
        <f>D66</f>
        <v>33.378</v>
      </c>
      <c r="E65" s="34">
        <f t="shared" si="3"/>
        <v>18.554466012941099</v>
      </c>
      <c r="F65" s="34">
        <f t="shared" si="4"/>
        <v>-146.51400000000001</v>
      </c>
    </row>
    <row r="66" spans="1:7">
      <c r="A66" s="43" t="s">
        <v>48</v>
      </c>
      <c r="B66" s="44" t="s">
        <v>49</v>
      </c>
      <c r="C66" s="37">
        <v>179.892</v>
      </c>
      <c r="D66" s="37">
        <v>33.378</v>
      </c>
      <c r="E66" s="38">
        <f t="shared" si="3"/>
        <v>18.554466012941099</v>
      </c>
      <c r="F66" s="38">
        <f t="shared" si="4"/>
        <v>-146.51400000000001</v>
      </c>
    </row>
    <row r="67" spans="1:7" s="6" customFormat="1" ht="16.5" customHeight="1">
      <c r="A67" s="30" t="s">
        <v>50</v>
      </c>
      <c r="B67" s="31" t="s">
        <v>51</v>
      </c>
      <c r="C67" s="32">
        <f>C70+C71+C72</f>
        <v>17</v>
      </c>
      <c r="D67" s="32">
        <f>SUM(D68:D71)</f>
        <v>2</v>
      </c>
      <c r="E67" s="34">
        <f t="shared" si="3"/>
        <v>11.76470588235294</v>
      </c>
      <c r="F67" s="34">
        <f t="shared" si="4"/>
        <v>-15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14</v>
      </c>
      <c r="D71" s="37">
        <v>2</v>
      </c>
      <c r="E71" s="34">
        <f t="shared" si="3"/>
        <v>14.285714285714285</v>
      </c>
      <c r="F71" s="34">
        <f t="shared" si="4"/>
        <v>-12</v>
      </c>
    </row>
    <row r="72" spans="1:7" ht="15.75" customHeight="1">
      <c r="A72" s="46" t="s">
        <v>358</v>
      </c>
      <c r="B72" s="47" t="s">
        <v>361</v>
      </c>
      <c r="C72" s="37">
        <v>2</v>
      </c>
      <c r="D72" s="37">
        <v>0</v>
      </c>
      <c r="E72" s="34"/>
      <c r="F72" s="34"/>
    </row>
    <row r="73" spans="1:7" s="6" customFormat="1" ht="15" customHeight="1">
      <c r="A73" s="30" t="s">
        <v>58</v>
      </c>
      <c r="B73" s="31" t="s">
        <v>59</v>
      </c>
      <c r="C73" s="48">
        <f>SUM(C74:C77)</f>
        <v>2983.6361899999997</v>
      </c>
      <c r="D73" s="48">
        <f>SUM(D74:D77)</f>
        <v>191.12700000000001</v>
      </c>
      <c r="E73" s="34">
        <f t="shared" si="3"/>
        <v>6.4058413234356166</v>
      </c>
      <c r="F73" s="34">
        <f t="shared" si="4"/>
        <v>-2792.5091899999998</v>
      </c>
    </row>
    <row r="74" spans="1:7" ht="17.25" customHeight="1">
      <c r="A74" s="35" t="s">
        <v>60</v>
      </c>
      <c r="B74" s="39" t="s">
        <v>61</v>
      </c>
      <c r="C74" s="49">
        <v>6.7024999999999997</v>
      </c>
      <c r="D74" s="37">
        <v>0</v>
      </c>
      <c r="E74" s="38">
        <f t="shared" si="3"/>
        <v>0</v>
      </c>
      <c r="F74" s="38">
        <f t="shared" si="4"/>
        <v>-6.7024999999999997</v>
      </c>
    </row>
    <row r="75" spans="1:7" s="6" customFormat="1" ht="19.5" customHeight="1">
      <c r="A75" s="35" t="s">
        <v>62</v>
      </c>
      <c r="B75" s="39" t="s">
        <v>63</v>
      </c>
      <c r="C75" s="49">
        <v>385</v>
      </c>
      <c r="D75" s="37">
        <v>69.606999999999999</v>
      </c>
      <c r="E75" s="38">
        <f t="shared" si="3"/>
        <v>18.079740259740259</v>
      </c>
      <c r="F75" s="38">
        <f t="shared" si="4"/>
        <v>-315.39300000000003</v>
      </c>
      <c r="G75" s="50"/>
    </row>
    <row r="76" spans="1:7">
      <c r="A76" s="35" t="s">
        <v>64</v>
      </c>
      <c r="B76" s="39" t="s">
        <v>65</v>
      </c>
      <c r="C76" s="49">
        <v>2591.9336899999998</v>
      </c>
      <c r="D76" s="37">
        <v>121.52</v>
      </c>
      <c r="E76" s="38">
        <f t="shared" si="3"/>
        <v>4.6883915460044046</v>
      </c>
      <c r="F76" s="38">
        <f t="shared" si="4"/>
        <v>-2470.4136899999999</v>
      </c>
    </row>
    <row r="77" spans="1:7">
      <c r="A77" s="35" t="s">
        <v>66</v>
      </c>
      <c r="B77" s="39" t="s">
        <v>67</v>
      </c>
      <c r="C77" s="49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s="6" customFormat="1" ht="14.25" customHeight="1">
      <c r="A78" s="30" t="s">
        <v>68</v>
      </c>
      <c r="B78" s="31" t="s">
        <v>69</v>
      </c>
      <c r="C78" s="32">
        <f>SUM(C79:C81)</f>
        <v>444.66699999999997</v>
      </c>
      <c r="D78" s="32">
        <f>SUM(D79:D81)</f>
        <v>86.93168</v>
      </c>
      <c r="E78" s="34">
        <f t="shared" si="3"/>
        <v>19.549838418411984</v>
      </c>
      <c r="F78" s="34">
        <f t="shared" si="4"/>
        <v>-357.73532</v>
      </c>
    </row>
    <row r="79" spans="1:7" hidden="1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72</v>
      </c>
      <c r="B80" s="51" t="s">
        <v>73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444.66699999999997</v>
      </c>
      <c r="D81" s="37">
        <v>86.93168</v>
      </c>
      <c r="E81" s="38">
        <f t="shared" si="3"/>
        <v>19.549838418411984</v>
      </c>
      <c r="F81" s="38">
        <f t="shared" si="4"/>
        <v>-357.73532</v>
      </c>
    </row>
    <row r="82" spans="1:6" s="6" customFormat="1">
      <c r="A82" s="30" t="s">
        <v>86</v>
      </c>
      <c r="B82" s="31" t="s">
        <v>87</v>
      </c>
      <c r="C82" s="32">
        <f>C83</f>
        <v>2697.1779999999999</v>
      </c>
      <c r="D82" s="32">
        <f>SUM(D83)</f>
        <v>580.40369999999996</v>
      </c>
      <c r="E82" s="34">
        <f t="shared" si="3"/>
        <v>21.518924594520641</v>
      </c>
      <c r="F82" s="34">
        <f t="shared" si="4"/>
        <v>-2116.7743</v>
      </c>
    </row>
    <row r="83" spans="1:6" ht="15" hidden="1" customHeight="1">
      <c r="A83" s="35" t="s">
        <v>88</v>
      </c>
      <c r="B83" s="39" t="s">
        <v>234</v>
      </c>
      <c r="C83" s="37">
        <v>2697.1779999999999</v>
      </c>
      <c r="D83" s="37">
        <v>580.40369999999996</v>
      </c>
      <c r="E83" s="38">
        <f t="shared" si="3"/>
        <v>21.518924594520641</v>
      </c>
      <c r="F83" s="38">
        <f t="shared" si="4"/>
        <v>-2116.7743</v>
      </c>
    </row>
    <row r="84" spans="1:6" s="6" customFormat="1" ht="15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95</v>
      </c>
      <c r="B89" s="31" t="s">
        <v>96</v>
      </c>
      <c r="C89" s="32">
        <f>C90</f>
        <v>2</v>
      </c>
      <c r="D89" s="32">
        <f>D90+D91+D92+D93+D94</f>
        <v>0</v>
      </c>
      <c r="E89" s="38"/>
      <c r="F89" s="22">
        <f>F90+F91+F92+F93+F94</f>
        <v>-2</v>
      </c>
    </row>
    <row r="90" spans="1:6" ht="16.5" customHeight="1">
      <c r="A90" s="35" t="s">
        <v>97</v>
      </c>
      <c r="B90" s="39" t="s">
        <v>98</v>
      </c>
      <c r="C90" s="37">
        <v>2</v>
      </c>
      <c r="D90" s="37">
        <v>0</v>
      </c>
      <c r="E90" s="38"/>
      <c r="F90" s="38">
        <f>SUM(D90-C90)</f>
        <v>-2</v>
      </c>
    </row>
    <row r="91" spans="1:6" ht="1.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115</v>
      </c>
      <c r="C95" s="48">
        <f>C96+C97+C98</f>
        <v>0</v>
      </c>
      <c r="D95" s="240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118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119</v>
      </c>
      <c r="C99" s="375">
        <f>C57+C65+C67+C73+C78+C82+C89+C84</f>
        <v>7559.1651899999997</v>
      </c>
      <c r="D99" s="375">
        <f>D57+D65+D67+D73+D78+D82+D89+D84</f>
        <v>1183.8648900000001</v>
      </c>
      <c r="E99" s="34">
        <f t="shared" si="3"/>
        <v>15.661317886876343</v>
      </c>
      <c r="F99" s="34">
        <f t="shared" si="4"/>
        <v>-6375.3002999999999</v>
      </c>
    </row>
    <row r="100" spans="1:6">
      <c r="D100" s="244"/>
    </row>
    <row r="101" spans="1:6" s="65" customFormat="1" ht="18" customHeight="1">
      <c r="A101" s="63" t="s">
        <v>120</v>
      </c>
      <c r="B101" s="63"/>
      <c r="C101" s="131"/>
      <c r="D101" s="64"/>
      <c r="E101" s="64"/>
    </row>
    <row r="102" spans="1:6" s="65" customFormat="1" ht="12.75">
      <c r="A102" s="66" t="s">
        <v>121</v>
      </c>
      <c r="B102" s="66"/>
      <c r="C102" s="65" t="s">
        <v>122</v>
      </c>
    </row>
    <row r="103" spans="1:6">
      <c r="C103" s="120"/>
    </row>
  </sheetData>
  <customSheetViews>
    <customSheetView guid="{35821C05-60FE-4C33-8558-8CF10812F6FC}" hiddenRows="1" topLeftCell="A32">
      <selection activeCell="J56" sqref="J56"/>
      <pageMargins left="0.7" right="0.7" top="0.75" bottom="0.75" header="0.3" footer="0.3"/>
      <pageSetup paperSize="9" scale="52" orientation="portrait" r:id="rId1"/>
    </customSheetView>
    <customSheetView guid="{B31C8DB7-3E78-4144-A6B5-8DE36DE63F0E}" hiddenRows="1" topLeftCell="A32">
      <selection activeCell="D43" sqref="D43"/>
      <pageMargins left="0.7" right="0.7" top="0.75" bottom="0.75" header="0.3" footer="0.3"/>
      <pageSetup paperSize="9" scale="52" orientation="portrait" r:id="rId2"/>
    </customSheetView>
    <customSheetView guid="{61528DAC-5C4C-48F4-ADE2-8A724B05A086}" scale="70" showPageBreaks="1" hiddenRows="1" view="pageBreakPreview" topLeftCell="A11">
      <selection activeCell="A72" sqref="A72:XFD72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25">
      <selection activeCell="B72" sqref="B7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6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9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topLeftCell="A30" zoomScaleNormal="100" zoomScaleSheetLayoutView="70" workbookViewId="0">
      <selection activeCell="D51" sqref="D51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32" t="s">
        <v>421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4.5" customHeight="1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2602.7242899999997</v>
      </c>
      <c r="D4" s="5">
        <f>D5+D12+D14+D17+D7</f>
        <v>354.51908000000003</v>
      </c>
      <c r="E4" s="5">
        <f>SUM(D4/C4*100)</f>
        <v>13.621077013885326</v>
      </c>
      <c r="F4" s="5">
        <f>SUM(D4-C4)</f>
        <v>-2248.2052099999996</v>
      </c>
    </row>
    <row r="5" spans="1:6" s="6" customFormat="1">
      <c r="A5" s="68">
        <v>1010000000</v>
      </c>
      <c r="B5" s="67" t="s">
        <v>6</v>
      </c>
      <c r="C5" s="5">
        <f>C6</f>
        <v>137.33699999999999</v>
      </c>
      <c r="D5" s="5">
        <f>D6</f>
        <v>17.818680000000001</v>
      </c>
      <c r="E5" s="5">
        <f t="shared" ref="E5:E52" si="0">SUM(D5/C5*100)</f>
        <v>12.974420585858146</v>
      </c>
      <c r="F5" s="5">
        <f t="shared" ref="F5:F52" si="1">SUM(D5-C5)</f>
        <v>-119.51831999999999</v>
      </c>
    </row>
    <row r="6" spans="1:6">
      <c r="A6" s="7">
        <v>1010200001</v>
      </c>
      <c r="B6" s="8" t="s">
        <v>229</v>
      </c>
      <c r="C6" s="9">
        <v>137.33699999999999</v>
      </c>
      <c r="D6" s="10">
        <v>17.818680000000001</v>
      </c>
      <c r="E6" s="9">
        <f t="shared" ref="E6:E11" si="2">SUM(D6/C6*100)</f>
        <v>12.974420585858146</v>
      </c>
      <c r="F6" s="9">
        <f t="shared" si="1"/>
        <v>-119.51831999999999</v>
      </c>
    </row>
    <row r="7" spans="1:6" ht="31.5">
      <c r="A7" s="3">
        <v>1030000000</v>
      </c>
      <c r="B7" s="13" t="s">
        <v>281</v>
      </c>
      <c r="C7" s="5">
        <f>C8+C10+C9</f>
        <v>737.00999999999988</v>
      </c>
      <c r="D7" s="341">
        <f>D8+D10+D9+D11</f>
        <v>216.28641000000002</v>
      </c>
      <c r="E7" s="5">
        <f t="shared" si="2"/>
        <v>29.346468840314248</v>
      </c>
      <c r="F7" s="5">
        <f t="shared" si="1"/>
        <v>-520.72358999999983</v>
      </c>
    </row>
    <row r="8" spans="1:6">
      <c r="A8" s="7">
        <v>1030223001</v>
      </c>
      <c r="B8" s="8" t="s">
        <v>283</v>
      </c>
      <c r="C8" s="9">
        <v>274.90499999999997</v>
      </c>
      <c r="D8" s="10">
        <v>95.013069999999999</v>
      </c>
      <c r="E8" s="9">
        <f t="shared" si="2"/>
        <v>34.562146923482665</v>
      </c>
      <c r="F8" s="9">
        <f t="shared" si="1"/>
        <v>-179.89192999999997</v>
      </c>
    </row>
    <row r="9" spans="1:6">
      <c r="A9" s="7">
        <v>1030224001</v>
      </c>
      <c r="B9" s="8" t="s">
        <v>289</v>
      </c>
      <c r="C9" s="9">
        <v>2.948</v>
      </c>
      <c r="D9" s="10">
        <v>0.66385000000000005</v>
      </c>
      <c r="E9" s="9">
        <f t="shared" si="2"/>
        <v>22.518656716417912</v>
      </c>
      <c r="F9" s="9">
        <f t="shared" si="1"/>
        <v>-2.2841499999999999</v>
      </c>
    </row>
    <row r="10" spans="1:6">
      <c r="A10" s="7">
        <v>1030225001</v>
      </c>
      <c r="B10" s="8" t="s">
        <v>282</v>
      </c>
      <c r="C10" s="9">
        <v>459.15699999999998</v>
      </c>
      <c r="D10" s="10">
        <v>139.30878000000001</v>
      </c>
      <c r="E10" s="9">
        <f t="shared" si="2"/>
        <v>30.340118957132312</v>
      </c>
      <c r="F10" s="9">
        <f>SUM(D10-C10)</f>
        <v>-319.84821999999997</v>
      </c>
    </row>
    <row r="11" spans="1:6">
      <c r="A11" s="7">
        <v>1030226001</v>
      </c>
      <c r="B11" s="8" t="s">
        <v>291</v>
      </c>
      <c r="C11" s="9">
        <v>0</v>
      </c>
      <c r="D11" s="10">
        <v>-18.699290000000001</v>
      </c>
      <c r="E11" s="9" t="e">
        <f t="shared" si="2"/>
        <v>#DIV/0!</v>
      </c>
      <c r="F11" s="9">
        <f>SUM(D11-C11)</f>
        <v>-18.699290000000001</v>
      </c>
    </row>
    <row r="12" spans="1:6" s="6" customFormat="1">
      <c r="A12" s="68">
        <v>1050000000</v>
      </c>
      <c r="B12" s="67" t="s">
        <v>7</v>
      </c>
      <c r="C12" s="5">
        <f>SUM(C13:C13)</f>
        <v>21</v>
      </c>
      <c r="D12" s="407">
        <f>SUM(D13:D13)</f>
        <v>6.5393999999999997</v>
      </c>
      <c r="E12" s="5">
        <f t="shared" si="0"/>
        <v>31.14</v>
      </c>
      <c r="F12" s="5">
        <f t="shared" si="1"/>
        <v>-14.460599999999999</v>
      </c>
    </row>
    <row r="13" spans="1:6" ht="15.75" customHeight="1">
      <c r="A13" s="7">
        <v>1050300000</v>
      </c>
      <c r="B13" s="11" t="s">
        <v>230</v>
      </c>
      <c r="C13" s="12">
        <v>21</v>
      </c>
      <c r="D13" s="10">
        <v>6.5393999999999997</v>
      </c>
      <c r="E13" s="9">
        <f t="shared" si="0"/>
        <v>31.14</v>
      </c>
      <c r="F13" s="9">
        <f t="shared" si="1"/>
        <v>-14.460599999999999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1695.3772899999999</v>
      </c>
      <c r="D14" s="341">
        <f>D15+D16</f>
        <v>110.60459</v>
      </c>
      <c r="E14" s="5">
        <f t="shared" si="0"/>
        <v>6.523892389758271</v>
      </c>
      <c r="F14" s="5">
        <f t="shared" si="1"/>
        <v>-1584.7727</v>
      </c>
    </row>
    <row r="15" spans="1:6" s="6" customFormat="1" ht="15.75" customHeight="1">
      <c r="A15" s="7">
        <v>1060100000</v>
      </c>
      <c r="B15" s="11" t="s">
        <v>9</v>
      </c>
      <c r="C15" s="9">
        <v>201</v>
      </c>
      <c r="D15" s="10">
        <v>19.572600000000001</v>
      </c>
      <c r="E15" s="9">
        <f t="shared" si="0"/>
        <v>9.7376119402985086</v>
      </c>
      <c r="F15" s="9">
        <f>SUM(D15-C15)</f>
        <v>-181.42740000000001</v>
      </c>
    </row>
    <row r="16" spans="1:6" ht="15.75" customHeight="1">
      <c r="A16" s="7">
        <v>1060600000</v>
      </c>
      <c r="B16" s="11" t="s">
        <v>8</v>
      </c>
      <c r="C16" s="9">
        <v>1494.3772899999999</v>
      </c>
      <c r="D16" s="10">
        <v>91.031989999999993</v>
      </c>
      <c r="E16" s="9">
        <f t="shared" si="0"/>
        <v>6.0916336596630156</v>
      </c>
      <c r="F16" s="9">
        <f t="shared" si="1"/>
        <v>-1403.3453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3.27</v>
      </c>
      <c r="E17" s="5">
        <f t="shared" si="0"/>
        <v>27.250000000000004</v>
      </c>
      <c r="F17" s="5">
        <f t="shared" si="1"/>
        <v>-8.73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3.27</v>
      </c>
      <c r="E18" s="9">
        <f t="shared" si="0"/>
        <v>27.250000000000004</v>
      </c>
      <c r="F18" s="9">
        <f t="shared" si="1"/>
        <v>-8.73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440.58499999999998</v>
      </c>
      <c r="D25" s="5">
        <f>D30+D37+D26+D35</f>
        <v>64.272590000000008</v>
      </c>
      <c r="E25" s="5">
        <f t="shared" si="0"/>
        <v>14.588011393942146</v>
      </c>
      <c r="F25" s="5">
        <f t="shared" si="1"/>
        <v>-376.31241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10</v>
      </c>
      <c r="D26" s="5">
        <f>D27+D28</f>
        <v>0.39300000000000002</v>
      </c>
      <c r="E26" s="5">
        <f t="shared" si="0"/>
        <v>3.93</v>
      </c>
      <c r="F26" s="5">
        <f t="shared" si="1"/>
        <v>-9.6069999999999993</v>
      </c>
    </row>
    <row r="27" spans="1:6" ht="15.75" customHeight="1">
      <c r="A27" s="16">
        <v>1110502510</v>
      </c>
      <c r="B27" s="17" t="s">
        <v>226</v>
      </c>
      <c r="C27" s="12">
        <v>10</v>
      </c>
      <c r="D27" s="10">
        <v>0.39300000000000002</v>
      </c>
      <c r="E27" s="9">
        <f t="shared" si="0"/>
        <v>3.93</v>
      </c>
      <c r="F27" s="9">
        <f t="shared" si="1"/>
        <v>-9.6069999999999993</v>
      </c>
    </row>
    <row r="28" spans="1:6" ht="15.75" customHeight="1">
      <c r="A28" s="7">
        <v>1110503510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customHeight="1">
      <c r="A29" s="7">
        <v>1110532510</v>
      </c>
      <c r="B29" s="11" t="s">
        <v>360</v>
      </c>
      <c r="C29" s="12">
        <v>0</v>
      </c>
      <c r="D29" s="244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25</v>
      </c>
      <c r="E30" s="5" t="e">
        <f t="shared" si="0"/>
        <v>#DIV/0!</v>
      </c>
      <c r="F30" s="5">
        <f t="shared" si="1"/>
        <v>25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25</v>
      </c>
      <c r="E31" s="9" t="e">
        <f t="shared" si="0"/>
        <v>#DIV/0!</v>
      </c>
      <c r="F31" s="9">
        <f t="shared" si="1"/>
        <v>25</v>
      </c>
    </row>
    <row r="32" spans="1:6" ht="35.25" customHeight="1">
      <c r="A32" s="70">
        <v>1140000000</v>
      </c>
      <c r="B32" s="71" t="s">
        <v>132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customHeight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223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38.87959</v>
      </c>
      <c r="E35" s="5" t="e">
        <f>SUM(D35/C35*100)</f>
        <v>#DIV/0!</v>
      </c>
      <c r="F35" s="5">
        <f>SUM(D35-C35)</f>
        <v>38.87959</v>
      </c>
    </row>
    <row r="36" spans="1:7" ht="47.25">
      <c r="A36" s="7">
        <v>1163305010</v>
      </c>
      <c r="B36" s="8" t="s">
        <v>268</v>
      </c>
      <c r="C36" s="9">
        <v>0</v>
      </c>
      <c r="D36" s="10">
        <v>38.87959</v>
      </c>
      <c r="E36" s="9" t="e">
        <f>SUM(D36/C36*100)</f>
        <v>#DIV/0!</v>
      </c>
      <c r="F36" s="9">
        <f>SUM(D36-C36)</f>
        <v>38.87959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3043.3092899999997</v>
      </c>
      <c r="D40" s="127">
        <f>D4+D25</f>
        <v>418.79167000000007</v>
      </c>
      <c r="E40" s="5">
        <f t="shared" si="0"/>
        <v>13.761061728957563</v>
      </c>
      <c r="F40" s="5">
        <f t="shared" si="1"/>
        <v>-2624.5176199999996</v>
      </c>
    </row>
    <row r="41" spans="1:7" s="6" customFormat="1">
      <c r="A41" s="3">
        <v>2000000000</v>
      </c>
      <c r="B41" s="4" t="s">
        <v>20</v>
      </c>
      <c r="C41" s="341">
        <f>C42+C44+C45+C47+C48+C49+C43+C51</f>
        <v>9502.3792900000008</v>
      </c>
      <c r="D41" s="341">
        <f>D42+D44+D45+D47+D48+D49+D43+D51</f>
        <v>827.923</v>
      </c>
      <c r="E41" s="5">
        <f t="shared" si="0"/>
        <v>8.7127968136493941</v>
      </c>
      <c r="F41" s="5">
        <f t="shared" si="1"/>
        <v>-8674.4562900000001</v>
      </c>
      <c r="G41" s="19"/>
    </row>
    <row r="42" spans="1:7" ht="17.25" customHeight="1">
      <c r="A42" s="16">
        <v>2021000000</v>
      </c>
      <c r="B42" s="17" t="s">
        <v>21</v>
      </c>
      <c r="C42" s="12">
        <v>1852.8</v>
      </c>
      <c r="D42" s="439">
        <v>463.2</v>
      </c>
      <c r="E42" s="9">
        <f t="shared" si="0"/>
        <v>25</v>
      </c>
      <c r="F42" s="9">
        <f t="shared" si="1"/>
        <v>-1389.6</v>
      </c>
    </row>
    <row r="43" spans="1:7" ht="17.25" customHeight="1">
      <c r="A43" s="16">
        <v>2021500200</v>
      </c>
      <c r="B43" s="17" t="s">
        <v>232</v>
      </c>
      <c r="C43" s="440">
        <v>494</v>
      </c>
      <c r="D43" s="20">
        <v>50</v>
      </c>
      <c r="E43" s="9">
        <f t="shared" si="0"/>
        <v>10.121457489878543</v>
      </c>
      <c r="F43" s="9">
        <f t="shared" si="1"/>
        <v>-444</v>
      </c>
    </row>
    <row r="44" spans="1:7">
      <c r="A44" s="16">
        <v>2022000000</v>
      </c>
      <c r="B44" s="17" t="s">
        <v>22</v>
      </c>
      <c r="C44" s="12">
        <v>4723.53629</v>
      </c>
      <c r="D44" s="10">
        <v>270.22399999999999</v>
      </c>
      <c r="E44" s="9">
        <f t="shared" si="0"/>
        <v>5.7207986434248399</v>
      </c>
      <c r="F44" s="9">
        <f t="shared" si="1"/>
        <v>-4453.3122899999998</v>
      </c>
    </row>
    <row r="45" spans="1:7" ht="15.75" customHeight="1">
      <c r="A45" s="16">
        <v>2023000000</v>
      </c>
      <c r="B45" s="17" t="s">
        <v>23</v>
      </c>
      <c r="C45" s="12">
        <v>182.04300000000001</v>
      </c>
      <c r="D45" s="250">
        <v>44.499000000000002</v>
      </c>
      <c r="E45" s="9">
        <f t="shared" si="0"/>
        <v>24.444224716138496</v>
      </c>
      <c r="F45" s="9">
        <f t="shared" si="1"/>
        <v>-137.54400000000001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0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2250</v>
      </c>
      <c r="D47" s="251">
        <v>0</v>
      </c>
      <c r="E47" s="9">
        <f t="shared" si="0"/>
        <v>0</v>
      </c>
      <c r="F47" s="9">
        <f t="shared" si="1"/>
        <v>-2250</v>
      </c>
    </row>
    <row r="48" spans="1:7" ht="31.5" hidden="1">
      <c r="A48" s="16">
        <v>2020900000</v>
      </c>
      <c r="B48" s="18" t="s">
        <v>25</v>
      </c>
      <c r="C48" s="12"/>
      <c r="D48" s="251"/>
      <c r="E48" s="9" t="e">
        <f t="shared" si="0"/>
        <v>#DIV/0!</v>
      </c>
      <c r="F48" s="9">
        <f t="shared" si="1"/>
        <v>0</v>
      </c>
    </row>
    <row r="49" spans="1:8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303</v>
      </c>
      <c r="C51" s="325">
        <v>0</v>
      </c>
      <c r="D51" s="326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28</v>
      </c>
      <c r="C52" s="371">
        <f>SUM(C40,C41,C50)</f>
        <v>12545.68858</v>
      </c>
      <c r="D52" s="372">
        <f>D40+D41</f>
        <v>1246.7146700000001</v>
      </c>
      <c r="E52" s="5">
        <f t="shared" si="0"/>
        <v>9.9373953215089301</v>
      </c>
      <c r="F52" s="5">
        <f t="shared" si="1"/>
        <v>-11298.973910000001</v>
      </c>
      <c r="G52" s="94">
        <f>12545.68858-C52</f>
        <v>0</v>
      </c>
      <c r="H52" s="292">
        <f>1113.71067-D52</f>
        <v>-133.00400000000013</v>
      </c>
    </row>
    <row r="53" spans="1:8" s="6" customFormat="1">
      <c r="A53" s="3"/>
      <c r="B53" s="21" t="s">
        <v>321</v>
      </c>
      <c r="C53" s="373">
        <f>C52-C99</f>
        <v>-1214.8990600000016</v>
      </c>
      <c r="D53" s="373">
        <f>D52-D99</f>
        <v>360.33812</v>
      </c>
      <c r="E53" s="22"/>
      <c r="F53" s="22"/>
    </row>
    <row r="54" spans="1:8" ht="32.25" customHeight="1">
      <c r="A54" s="23"/>
      <c r="B54" s="24"/>
      <c r="C54" s="246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412</v>
      </c>
      <c r="D55" s="73" t="s">
        <v>419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30</v>
      </c>
      <c r="B57" s="31" t="s">
        <v>31</v>
      </c>
      <c r="C57" s="32">
        <f>C58+C59+C60+C61+C62+C64+C63</f>
        <v>1209.8699999999999</v>
      </c>
      <c r="D57" s="33">
        <f>D58+D59+D60+D61+D62+D64+D63</f>
        <v>261.14318000000003</v>
      </c>
      <c r="E57" s="34">
        <f>SUM(D57/C57*100)</f>
        <v>21.584399976857021</v>
      </c>
      <c r="F57" s="34">
        <f>SUM(D57-C57)</f>
        <v>-948.72681999999986</v>
      </c>
    </row>
    <row r="58" spans="1:8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8" ht="18.75" customHeight="1">
      <c r="A59" s="35" t="s">
        <v>34</v>
      </c>
      <c r="B59" s="39" t="s">
        <v>35</v>
      </c>
      <c r="C59" s="37">
        <v>1197.0999999999999</v>
      </c>
      <c r="D59" s="37">
        <v>253.37368000000001</v>
      </c>
      <c r="E59" s="38">
        <f t="shared" ref="E59:E99" si="3">SUM(D59/C59*100)</f>
        <v>21.165623590343333</v>
      </c>
      <c r="F59" s="38">
        <f t="shared" ref="F59:F99" si="4">SUM(D59-C59)</f>
        <v>-943.72631999999987</v>
      </c>
    </row>
    <row r="60" spans="1:8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5" customHeight="1">
      <c r="A64" s="35" t="s">
        <v>44</v>
      </c>
      <c r="B64" s="39" t="s">
        <v>45</v>
      </c>
      <c r="C64" s="37">
        <v>7.77</v>
      </c>
      <c r="D64" s="37">
        <v>7.7694999999999999</v>
      </c>
      <c r="E64" s="38">
        <f t="shared" si="3"/>
        <v>99.993564993565002</v>
      </c>
      <c r="F64" s="38">
        <f t="shared" si="4"/>
        <v>-4.9999999999972289E-4</v>
      </c>
    </row>
    <row r="65" spans="1:7" s="6" customFormat="1">
      <c r="A65" s="41" t="s">
        <v>46</v>
      </c>
      <c r="B65" s="42" t="s">
        <v>47</v>
      </c>
      <c r="C65" s="32">
        <f>C66</f>
        <v>179.892</v>
      </c>
      <c r="D65" s="32">
        <f>D66</f>
        <v>33.871110000000002</v>
      </c>
      <c r="E65" s="34">
        <f t="shared" si="3"/>
        <v>18.828580481622311</v>
      </c>
      <c r="F65" s="34">
        <f t="shared" si="4"/>
        <v>-146.02089000000001</v>
      </c>
    </row>
    <row r="66" spans="1:7">
      <c r="A66" s="43" t="s">
        <v>48</v>
      </c>
      <c r="B66" s="44" t="s">
        <v>49</v>
      </c>
      <c r="C66" s="37">
        <v>179.892</v>
      </c>
      <c r="D66" s="37">
        <v>33.871110000000002</v>
      </c>
      <c r="E66" s="38">
        <f t="shared" si="3"/>
        <v>18.828580481622311</v>
      </c>
      <c r="F66" s="38">
        <f t="shared" si="4"/>
        <v>-146.02089000000001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6.1749999999999998</v>
      </c>
      <c r="D67" s="32">
        <f>D71+D70+D72</f>
        <v>0.17499999999999999</v>
      </c>
      <c r="E67" s="34">
        <f t="shared" si="3"/>
        <v>2.834008097165992</v>
      </c>
      <c r="F67" s="34">
        <f t="shared" si="4"/>
        <v>-6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219</v>
      </c>
      <c r="B71" s="47" t="s">
        <v>220</v>
      </c>
      <c r="C71" s="37">
        <v>3.1749999999999998</v>
      </c>
      <c r="D71" s="37">
        <v>0.17499999999999999</v>
      </c>
      <c r="E71" s="34">
        <f t="shared" si="3"/>
        <v>5.5118110236220472</v>
      </c>
      <c r="F71" s="34">
        <f t="shared" si="4"/>
        <v>-3</v>
      </c>
    </row>
    <row r="72" spans="1:7" ht="15.75" customHeight="1">
      <c r="A72" s="46" t="s">
        <v>358</v>
      </c>
      <c r="B72" s="47" t="s">
        <v>361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5483.0478000000003</v>
      </c>
      <c r="D73" s="48">
        <f>SUM(D74:D77)</f>
        <v>192.20707999999999</v>
      </c>
      <c r="E73" s="34">
        <f t="shared" si="3"/>
        <v>3.505478832411419</v>
      </c>
      <c r="F73" s="34">
        <f t="shared" si="4"/>
        <v>-5290.8407200000001</v>
      </c>
    </row>
    <row r="74" spans="1:7" ht="16.5" customHeight="1">
      <c r="A74" s="35" t="s">
        <v>60</v>
      </c>
      <c r="B74" s="39" t="s">
        <v>61</v>
      </c>
      <c r="C74" s="49">
        <v>5.3620000000000001</v>
      </c>
      <c r="D74" s="37">
        <v>0</v>
      </c>
      <c r="E74" s="38">
        <f t="shared" si="3"/>
        <v>0</v>
      </c>
      <c r="F74" s="38">
        <f t="shared" si="4"/>
        <v>-5.3620000000000001</v>
      </c>
    </row>
    <row r="75" spans="1:7" s="6" customFormat="1" ht="17.25" customHeight="1">
      <c r="A75" s="35" t="s">
        <v>62</v>
      </c>
      <c r="B75" s="39" t="s">
        <v>63</v>
      </c>
      <c r="C75" s="49">
        <v>220</v>
      </c>
      <c r="D75" s="37">
        <v>0</v>
      </c>
      <c r="E75" s="38">
        <f t="shared" si="3"/>
        <v>0</v>
      </c>
      <c r="F75" s="38">
        <f t="shared" si="4"/>
        <v>-220</v>
      </c>
      <c r="G75" s="50"/>
    </row>
    <row r="76" spans="1:7" ht="18" customHeight="1">
      <c r="A76" s="35" t="s">
        <v>64</v>
      </c>
      <c r="B76" s="39" t="s">
        <v>65</v>
      </c>
      <c r="C76" s="49">
        <v>5137.6858000000002</v>
      </c>
      <c r="D76" s="37">
        <v>192.20707999999999</v>
      </c>
      <c r="E76" s="38">
        <f t="shared" si="3"/>
        <v>3.7411217322787618</v>
      </c>
      <c r="F76" s="38">
        <f t="shared" si="4"/>
        <v>-4945.4787200000001</v>
      </c>
    </row>
    <row r="77" spans="1:7">
      <c r="A77" s="35" t="s">
        <v>66</v>
      </c>
      <c r="B77" s="39" t="s">
        <v>67</v>
      </c>
      <c r="C77" s="49">
        <v>120</v>
      </c>
      <c r="D77" s="37">
        <v>0</v>
      </c>
      <c r="E77" s="38">
        <f t="shared" si="3"/>
        <v>0</v>
      </c>
      <c r="F77" s="38">
        <f t="shared" si="4"/>
        <v>-120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527.78099999999995</v>
      </c>
      <c r="D78" s="32">
        <f>SUM(D79:D81)</f>
        <v>37.380409999999998</v>
      </c>
      <c r="E78" s="34">
        <f t="shared" si="3"/>
        <v>7.0825607591027335</v>
      </c>
      <c r="F78" s="34">
        <f t="shared" si="4"/>
        <v>-490.40058999999997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527.78099999999995</v>
      </c>
      <c r="D81" s="37">
        <v>37.380409999999998</v>
      </c>
      <c r="E81" s="38">
        <f>SUM(D81/C81*100)</f>
        <v>7.0825607591027335</v>
      </c>
      <c r="F81" s="38">
        <f t="shared" si="4"/>
        <v>-490.40058999999997</v>
      </c>
    </row>
    <row r="82" spans="1:6" s="6" customFormat="1" hidden="1">
      <c r="A82" s="30" t="s">
        <v>86</v>
      </c>
      <c r="B82" s="31" t="s">
        <v>87</v>
      </c>
      <c r="C82" s="32">
        <f>C83</f>
        <v>6291.9098400000003</v>
      </c>
      <c r="D82" s="32">
        <f>D83</f>
        <v>342.00076999999999</v>
      </c>
      <c r="E82" s="34">
        <f t="shared" si="3"/>
        <v>5.4355637429159342</v>
      </c>
      <c r="F82" s="34">
        <f t="shared" si="4"/>
        <v>-5949.9090700000006</v>
      </c>
    </row>
    <row r="83" spans="1:6" ht="18.75" hidden="1" customHeight="1">
      <c r="A83" s="35" t="s">
        <v>88</v>
      </c>
      <c r="B83" s="39" t="s">
        <v>234</v>
      </c>
      <c r="C83" s="37">
        <v>6291.9098400000003</v>
      </c>
      <c r="D83" s="37">
        <v>342.00076999999999</v>
      </c>
      <c r="E83" s="38">
        <f t="shared" si="3"/>
        <v>5.4355637429159342</v>
      </c>
      <c r="F83" s="38">
        <f t="shared" si="4"/>
        <v>-5949.9090700000006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61.911999999999999</v>
      </c>
      <c r="D89" s="32">
        <f>D90+D91+D92+D93+D94</f>
        <v>19.599</v>
      </c>
      <c r="E89" s="38">
        <f t="shared" si="3"/>
        <v>31.656221734074169</v>
      </c>
      <c r="F89" s="22">
        <f>F90+F91+F92+F93+F94</f>
        <v>-42.313000000000002</v>
      </c>
    </row>
    <row r="90" spans="1:6" ht="17.25" customHeight="1">
      <c r="A90" s="35" t="s">
        <v>97</v>
      </c>
      <c r="B90" s="39" t="s">
        <v>98</v>
      </c>
      <c r="C90" s="37">
        <v>61.911999999999999</v>
      </c>
      <c r="D90" s="37">
        <v>19.599</v>
      </c>
      <c r="E90" s="38">
        <f t="shared" si="3"/>
        <v>31.656221734074169</v>
      </c>
      <c r="F90" s="38">
        <f>SUM(D90-C90)</f>
        <v>-42.313000000000002</v>
      </c>
    </row>
    <row r="91" spans="1:6" ht="15.7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3">
        <f>C57+C65+C67+C73+C78+C82+C84+C89+C95</f>
        <v>13760.587640000002</v>
      </c>
      <c r="D99" s="33">
        <f>D57+D65+D67+D73+D78+D82+D84+D89+D95</f>
        <v>886.37655000000007</v>
      </c>
      <c r="E99" s="34">
        <f t="shared" si="3"/>
        <v>6.4414149539910204</v>
      </c>
      <c r="F99" s="34">
        <f t="shared" si="4"/>
        <v>-12874.211090000001</v>
      </c>
      <c r="G99" s="292">
        <f>13760.58764-C99</f>
        <v>0</v>
      </c>
      <c r="H99" s="151">
        <f>886.37655-D99</f>
        <v>0</v>
      </c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35821C05-60FE-4C33-8558-8CF10812F6FC}" hiddenRows="1" topLeftCell="A30">
      <selection activeCell="D51" sqref="D51"/>
      <pageMargins left="0.7" right="0.7" top="0.75" bottom="0.75" header="0.3" footer="0.3"/>
      <pageSetup paperSize="9" scale="54" orientation="portrait" r:id="rId1"/>
    </customSheetView>
    <customSheetView guid="{B31C8DB7-3E78-4144-A6B5-8DE36DE63F0E}" showPageBreaks="1" printArea="1" hiddenRows="1" topLeftCell="A30">
      <selection activeCell="D43" sqref="D43"/>
      <pageMargins left="0.7" right="0.7" top="0.75" bottom="0.75" header="0.3" footer="0.3"/>
      <pageSetup paperSize="9" scale="54" orientation="portrait" r:id="rId2"/>
    </customSheetView>
    <customSheetView guid="{61528DAC-5C4C-48F4-ADE2-8A724B05A086}" scale="70" showPageBreaks="1" printArea="1" hiddenRows="1" view="pageBreakPreview" topLeftCell="A31">
      <selection activeCell="D63" sqref="D63"/>
      <pageMargins left="0.70866141732283472" right="0.70866141732283472" top="0.74803149606299213" bottom="0.74803149606299213" header="0.31496062992125984" footer="0.31496062992125984"/>
      <pageSetup paperSize="9" scale="59" orientation="portrait" r:id="rId3"/>
    </customSheetView>
    <customSheetView guid="{B30CE22D-C12F-4E12-8BB9-3AAE0A6991CC}" scale="70" showPageBreaks="1" printArea="1" hiddenRows="1" view="pageBreakPreview" topLeftCell="A6">
      <selection activeCell="D15" sqref="D15"/>
      <pageMargins left="0.70866141732283472" right="0.70866141732283472" top="0.74803149606299213" bottom="0.74803149606299213" header="0.31496062992125984" footer="0.31496062992125984"/>
      <pageSetup paperSize="9" scale="55" orientation="portrait" r:id="rId4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9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topLeftCell="A6" zoomScaleNormal="100" zoomScaleSheetLayoutView="70" workbookViewId="0">
      <selection activeCell="D28" sqref="D2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32" t="s">
        <v>420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4.5" customHeight="1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1998.069</v>
      </c>
      <c r="D4" s="5">
        <f>D5+D12+D14+D17+D7</f>
        <v>314.54774999999995</v>
      </c>
      <c r="E4" s="5">
        <f>SUM(D4/C4*100)</f>
        <v>15.742586967717328</v>
      </c>
      <c r="F4" s="5">
        <f>SUM(D4-C4)</f>
        <v>-1683.52125</v>
      </c>
    </row>
    <row r="5" spans="1:6" s="6" customFormat="1">
      <c r="A5" s="3">
        <v>1010000000</v>
      </c>
      <c r="B5" s="4" t="s">
        <v>6</v>
      </c>
      <c r="C5" s="5">
        <f>C6</f>
        <v>109.68899999999999</v>
      </c>
      <c r="D5" s="5">
        <f>D6</f>
        <v>22.947379999999999</v>
      </c>
      <c r="E5" s="5">
        <f t="shared" ref="E5:E48" si="0">SUM(D5/C5*100)</f>
        <v>20.92040222811768</v>
      </c>
      <c r="F5" s="5">
        <f t="shared" ref="F5:F48" si="1">SUM(D5-C5)</f>
        <v>-86.741619999999998</v>
      </c>
    </row>
    <row r="6" spans="1:6">
      <c r="A6" s="7">
        <v>1010200001</v>
      </c>
      <c r="B6" s="8" t="s">
        <v>229</v>
      </c>
      <c r="C6" s="9">
        <v>109.68899999999999</v>
      </c>
      <c r="D6" s="10">
        <v>22.947379999999999</v>
      </c>
      <c r="E6" s="9">
        <f t="shared" ref="E6:E11" si="2">SUM(D6/C6*100)</f>
        <v>20.92040222811768</v>
      </c>
      <c r="F6" s="9">
        <f t="shared" si="1"/>
        <v>-86.741619999999998</v>
      </c>
    </row>
    <row r="7" spans="1:6" ht="31.5">
      <c r="A7" s="3">
        <v>1030000000</v>
      </c>
      <c r="B7" s="13" t="s">
        <v>281</v>
      </c>
      <c r="C7" s="5">
        <f>C8+C10+C9</f>
        <v>422.38</v>
      </c>
      <c r="D7" s="5">
        <f>D8+D10+D9+D11</f>
        <v>123.95360999999998</v>
      </c>
      <c r="E7" s="5">
        <f t="shared" si="2"/>
        <v>29.346467635778207</v>
      </c>
      <c r="F7" s="5">
        <f t="shared" si="1"/>
        <v>-298.42639000000003</v>
      </c>
    </row>
    <row r="8" spans="1:6">
      <c r="A8" s="7">
        <v>1030223001</v>
      </c>
      <c r="B8" s="8" t="s">
        <v>283</v>
      </c>
      <c r="C8" s="9">
        <v>157.55000000000001</v>
      </c>
      <c r="D8" s="10">
        <v>54.45194</v>
      </c>
      <c r="E8" s="9">
        <f t="shared" si="2"/>
        <v>34.561688352903836</v>
      </c>
      <c r="F8" s="9">
        <f t="shared" si="1"/>
        <v>-103.09806</v>
      </c>
    </row>
    <row r="9" spans="1:6">
      <c r="A9" s="7">
        <v>1030224001</v>
      </c>
      <c r="B9" s="8" t="s">
        <v>289</v>
      </c>
      <c r="C9" s="9">
        <v>1.69</v>
      </c>
      <c r="D9" s="10">
        <v>0.38045000000000001</v>
      </c>
      <c r="E9" s="9">
        <f t="shared" si="2"/>
        <v>22.511834319526628</v>
      </c>
      <c r="F9" s="9">
        <f t="shared" si="1"/>
        <v>-1.30955</v>
      </c>
    </row>
    <row r="10" spans="1:6">
      <c r="A10" s="7">
        <v>1030225001</v>
      </c>
      <c r="B10" s="8" t="s">
        <v>282</v>
      </c>
      <c r="C10" s="9">
        <v>263.14</v>
      </c>
      <c r="D10" s="10">
        <v>79.837779999999995</v>
      </c>
      <c r="E10" s="9">
        <f t="shared" si="2"/>
        <v>30.340419548529301</v>
      </c>
      <c r="F10" s="9">
        <f t="shared" si="1"/>
        <v>-183.30221999999998</v>
      </c>
    </row>
    <row r="11" spans="1:6">
      <c r="A11" s="7">
        <v>1030226001</v>
      </c>
      <c r="B11" s="8" t="s">
        <v>291</v>
      </c>
      <c r="C11" s="9">
        <v>0</v>
      </c>
      <c r="D11" s="10">
        <v>-10.716559999999999</v>
      </c>
      <c r="E11" s="9" t="e">
        <f t="shared" si="2"/>
        <v>#DIV/0!</v>
      </c>
      <c r="F11" s="9">
        <f t="shared" si="1"/>
        <v>-10.716559999999999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0.74790000000000001</v>
      </c>
      <c r="E12" s="5">
        <f t="shared" si="0"/>
        <v>14.957999999999998</v>
      </c>
      <c r="F12" s="5">
        <f t="shared" si="1"/>
        <v>-4.2521000000000004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0.74790000000000001</v>
      </c>
      <c r="E13" s="9">
        <f t="shared" si="0"/>
        <v>14.957999999999998</v>
      </c>
      <c r="F13" s="9">
        <f t="shared" si="1"/>
        <v>-4.2521000000000004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1456</v>
      </c>
      <c r="D14" s="5">
        <f>D15+D16</f>
        <v>164.94886</v>
      </c>
      <c r="E14" s="5">
        <f t="shared" si="0"/>
        <v>11.32890521978022</v>
      </c>
      <c r="F14" s="5">
        <f t="shared" si="1"/>
        <v>-1291.05114</v>
      </c>
    </row>
    <row r="15" spans="1:6" s="6" customFormat="1" ht="15.75" customHeight="1">
      <c r="A15" s="7">
        <v>1060100000</v>
      </c>
      <c r="B15" s="11" t="s">
        <v>9</v>
      </c>
      <c r="C15" s="9">
        <v>428</v>
      </c>
      <c r="D15" s="10">
        <v>94.37594</v>
      </c>
      <c r="E15" s="9">
        <f t="shared" si="0"/>
        <v>22.050453271028037</v>
      </c>
      <c r="F15" s="9">
        <f>SUM(D15-C15)</f>
        <v>-333.62405999999999</v>
      </c>
    </row>
    <row r="16" spans="1:6" ht="15.75" customHeight="1">
      <c r="A16" s="7">
        <v>1060600000</v>
      </c>
      <c r="B16" s="11" t="s">
        <v>8</v>
      </c>
      <c r="C16" s="9">
        <v>1028</v>
      </c>
      <c r="D16" s="10">
        <v>70.572919999999996</v>
      </c>
      <c r="E16" s="9">
        <f t="shared" si="0"/>
        <v>6.8650700389105053</v>
      </c>
      <c r="F16" s="9">
        <f t="shared" si="1"/>
        <v>-957.42708000000005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1.95</v>
      </c>
      <c r="E17" s="5">
        <f t="shared" si="0"/>
        <v>39</v>
      </c>
      <c r="F17" s="5">
        <f t="shared" si="1"/>
        <v>-3.05</v>
      </c>
    </row>
    <row r="18" spans="1:6">
      <c r="A18" s="7">
        <v>1080400001</v>
      </c>
      <c r="B18" s="8" t="s">
        <v>228</v>
      </c>
      <c r="C18" s="9">
        <v>5</v>
      </c>
      <c r="D18" s="10">
        <v>1.95</v>
      </c>
      <c r="E18" s="9">
        <f t="shared" si="0"/>
        <v>39</v>
      </c>
      <c r="F18" s="9">
        <f t="shared" si="1"/>
        <v>-3.05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317.59127999999998</v>
      </c>
      <c r="D25" s="5">
        <f>D26+D29+D31+D34</f>
        <v>48.825770000000006</v>
      </c>
      <c r="E25" s="5">
        <f t="shared" si="0"/>
        <v>15.373775375696717</v>
      </c>
      <c r="F25" s="5">
        <f t="shared" si="1"/>
        <v>-268.76550999999995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300</v>
      </c>
      <c r="D26" s="5">
        <f>D27</f>
        <v>37.333770000000001</v>
      </c>
      <c r="E26" s="5">
        <f t="shared" si="0"/>
        <v>12.44459</v>
      </c>
      <c r="F26" s="5">
        <f t="shared" si="1"/>
        <v>-262.66622999999998</v>
      </c>
    </row>
    <row r="27" spans="1:6" ht="15" customHeight="1">
      <c r="A27" s="16">
        <v>1110502510</v>
      </c>
      <c r="B27" s="17" t="s">
        <v>226</v>
      </c>
      <c r="C27" s="12">
        <v>300</v>
      </c>
      <c r="D27" s="10">
        <v>37.333770000000001</v>
      </c>
      <c r="E27" s="5">
        <f t="shared" si="0"/>
        <v>12.44459</v>
      </c>
      <c r="F27" s="9">
        <f t="shared" si="1"/>
        <v>-262.66622999999998</v>
      </c>
    </row>
    <row r="28" spans="1:6" ht="19.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" hidden="1" customHeight="1">
      <c r="A29" s="3">
        <v>1130000000</v>
      </c>
      <c r="B29" s="13" t="s">
        <v>131</v>
      </c>
      <c r="C29" s="5">
        <f>C30</f>
        <v>0</v>
      </c>
      <c r="D29" s="5">
        <f>D30</f>
        <v>5.093</v>
      </c>
      <c r="E29" s="5" t="e">
        <f t="shared" si="0"/>
        <v>#DIV/0!</v>
      </c>
      <c r="F29" s="5">
        <f t="shared" si="1"/>
        <v>5.093</v>
      </c>
    </row>
    <row r="30" spans="1:6" ht="50.25" hidden="1" customHeight="1">
      <c r="A30" s="7">
        <v>1130305005</v>
      </c>
      <c r="B30" s="8" t="s">
        <v>224</v>
      </c>
      <c r="C30" s="9">
        <v>0</v>
      </c>
      <c r="D30" s="10">
        <v>5.093</v>
      </c>
      <c r="E30" s="9" t="e">
        <f t="shared" si="0"/>
        <v>#DIV/0!</v>
      </c>
      <c r="F30" s="9">
        <f t="shared" si="1"/>
        <v>5.093</v>
      </c>
    </row>
    <row r="31" spans="1:6" ht="33" customHeight="1">
      <c r="A31" s="109">
        <v>1140000000</v>
      </c>
      <c r="B31" s="110" t="s">
        <v>132</v>
      </c>
      <c r="C31" s="5">
        <f>C33</f>
        <v>17.591280000000001</v>
      </c>
      <c r="D31" s="5">
        <f>D32+D33</f>
        <v>6.399</v>
      </c>
      <c r="E31" s="5">
        <f t="shared" si="0"/>
        <v>36.37597718869803</v>
      </c>
      <c r="F31" s="5">
        <f t="shared" si="1"/>
        <v>-11.19228</v>
      </c>
    </row>
    <row r="32" spans="1:6" ht="27" hidden="1" customHeight="1">
      <c r="A32" s="16">
        <v>1140200000</v>
      </c>
      <c r="B32" s="18" t="s">
        <v>222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27" customHeight="1">
      <c r="A33" s="7">
        <v>1140600000</v>
      </c>
      <c r="B33" s="8" t="s">
        <v>223</v>
      </c>
      <c r="C33" s="9">
        <v>17.591280000000001</v>
      </c>
      <c r="D33" s="10">
        <v>0</v>
      </c>
      <c r="E33" s="9">
        <f t="shared" si="0"/>
        <v>0</v>
      </c>
      <c r="F33" s="9">
        <f t="shared" si="1"/>
        <v>-17.591280000000001</v>
      </c>
    </row>
    <row r="34" spans="1:8" ht="27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t="23.2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t="32.2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399">
        <f>SUM(C4,C25)</f>
        <v>2315.6602800000001</v>
      </c>
      <c r="D37" s="399">
        <f>D4+D25</f>
        <v>363.37351999999998</v>
      </c>
      <c r="E37" s="5">
        <f t="shared" si="0"/>
        <v>15.692004701138632</v>
      </c>
      <c r="F37" s="5">
        <f t="shared" si="1"/>
        <v>-1952.28676</v>
      </c>
    </row>
    <row r="38" spans="1:8" s="6" customFormat="1">
      <c r="A38" s="3">
        <v>2000000000</v>
      </c>
      <c r="B38" s="4" t="s">
        <v>20</v>
      </c>
      <c r="C38" s="341">
        <f>C39+C41+C42+C44+C45+C46+C40</f>
        <v>9677.5567100000007</v>
      </c>
      <c r="D38" s="341">
        <f>D39+D41+D42+D44+D45+D46+D40</f>
        <v>681.95767999999998</v>
      </c>
      <c r="E38" s="5">
        <f t="shared" si="0"/>
        <v>7.0467960089070854</v>
      </c>
      <c r="F38" s="5">
        <f t="shared" si="1"/>
        <v>-8995.5990300000012</v>
      </c>
      <c r="G38" s="19"/>
    </row>
    <row r="39" spans="1:8">
      <c r="A39" s="16">
        <v>2021000000</v>
      </c>
      <c r="B39" s="17" t="s">
        <v>21</v>
      </c>
      <c r="C39" s="12">
        <v>550.70000000000005</v>
      </c>
      <c r="D39" s="439">
        <v>137.67599999999999</v>
      </c>
      <c r="E39" s="9">
        <f t="shared" si="0"/>
        <v>25.000181587070998</v>
      </c>
      <c r="F39" s="9">
        <f t="shared" si="1"/>
        <v>-413.02400000000006</v>
      </c>
    </row>
    <row r="40" spans="1:8" ht="15.75" customHeight="1">
      <c r="A40" s="16">
        <v>2021500200</v>
      </c>
      <c r="B40" s="17" t="s">
        <v>232</v>
      </c>
      <c r="C40" s="12">
        <v>3200</v>
      </c>
      <c r="D40" s="20">
        <v>70</v>
      </c>
      <c r="E40" s="9">
        <f t="shared" si="0"/>
        <v>2.1875</v>
      </c>
      <c r="F40" s="9">
        <f t="shared" si="1"/>
        <v>-3130</v>
      </c>
    </row>
    <row r="41" spans="1:8">
      <c r="A41" s="16">
        <v>2022000000</v>
      </c>
      <c r="B41" s="17" t="s">
        <v>22</v>
      </c>
      <c r="C41" s="12">
        <v>5593.3550299999997</v>
      </c>
      <c r="D41" s="10">
        <v>211.54400000000001</v>
      </c>
      <c r="E41" s="9">
        <f t="shared" si="0"/>
        <v>3.7820592268036317</v>
      </c>
      <c r="F41" s="9">
        <f t="shared" si="1"/>
        <v>-5381.8110299999998</v>
      </c>
    </row>
    <row r="42" spans="1:8" ht="13.5" customHeight="1">
      <c r="A42" s="16">
        <v>2023000000</v>
      </c>
      <c r="B42" s="17" t="s">
        <v>23</v>
      </c>
      <c r="C42" s="12">
        <v>93.018000000000001</v>
      </c>
      <c r="D42" s="250">
        <v>22.254000000000001</v>
      </c>
      <c r="E42" s="9">
        <f t="shared" si="0"/>
        <v>23.924401728697671</v>
      </c>
      <c r="F42" s="9">
        <f t="shared" si="1"/>
        <v>-70.763999999999996</v>
      </c>
    </row>
    <row r="43" spans="1:8" hidden="1">
      <c r="A43" s="16">
        <v>2070503010</v>
      </c>
      <c r="B43" s="17" t="s">
        <v>271</v>
      </c>
      <c r="C43" s="12">
        <v>0</v>
      </c>
      <c r="D43" s="250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24</v>
      </c>
      <c r="C44" s="12">
        <v>0</v>
      </c>
      <c r="D44" s="251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240.48367999999999</v>
      </c>
      <c r="D45" s="251">
        <v>240.48367999999999</v>
      </c>
      <c r="E45" s="9">
        <v>922</v>
      </c>
      <c r="F45" s="9">
        <f t="shared" si="1"/>
        <v>0</v>
      </c>
      <c r="G45" s="355"/>
      <c r="H45" s="355"/>
    </row>
    <row r="46" spans="1:8" ht="30.7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69">
        <f>SUM(C37,C38,C47)</f>
        <v>11993.216990000001</v>
      </c>
      <c r="D48" s="370">
        <f>D37+D38</f>
        <v>1045.3312000000001</v>
      </c>
      <c r="E48" s="5">
        <f t="shared" si="0"/>
        <v>8.7160200709417843</v>
      </c>
      <c r="F48" s="5">
        <f t="shared" si="1"/>
        <v>-10947.88579</v>
      </c>
      <c r="G48" s="292"/>
      <c r="H48" s="292"/>
    </row>
    <row r="49" spans="1:6" s="6" customFormat="1">
      <c r="A49" s="3"/>
      <c r="B49" s="21" t="s">
        <v>321</v>
      </c>
      <c r="C49" s="371">
        <f>C48-C95</f>
        <v>-52.274429999997665</v>
      </c>
      <c r="D49" s="371">
        <f>D48-D95</f>
        <v>150.74364000000014</v>
      </c>
      <c r="E49" s="22"/>
      <c r="F49" s="22"/>
    </row>
    <row r="50" spans="1:6" ht="23.25" customHeight="1">
      <c r="A50" s="23"/>
      <c r="B50" s="24"/>
      <c r="C50" s="324"/>
      <c r="D50" s="324"/>
      <c r="E50" s="26"/>
      <c r="F50" s="27"/>
    </row>
    <row r="51" spans="1:6" ht="63">
      <c r="A51" s="28" t="s">
        <v>1</v>
      </c>
      <c r="B51" s="28" t="s">
        <v>29</v>
      </c>
      <c r="C51" s="72" t="s">
        <v>412</v>
      </c>
      <c r="D51" s="73" t="s">
        <v>419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408">
        <f>C54+C55+C56+C57+C58+C60+C59</f>
        <v>1294.6619999999998</v>
      </c>
      <c r="D53" s="408">
        <f>D54+D55+D56+D57+D58+D60+D59</f>
        <v>239.03984</v>
      </c>
      <c r="E53" s="34">
        <f>SUM(D53/C53*100)</f>
        <v>18.463493946682611</v>
      </c>
      <c r="F53" s="34">
        <f>SUM(D53-C53)</f>
        <v>-1055.6221599999999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1286.5719999999999</v>
      </c>
      <c r="D55" s="37">
        <v>235.95034000000001</v>
      </c>
      <c r="E55" s="38">
        <f t="shared" ref="E55:E95" si="3">SUM(D55/C55*100)</f>
        <v>18.339458654470953</v>
      </c>
      <c r="F55" s="38">
        <f t="shared" ref="F55:F95" si="4">SUM(D55-C55)</f>
        <v>-1050.6216599999998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3.09</v>
      </c>
      <c r="D60" s="37">
        <v>3.0895000000000001</v>
      </c>
      <c r="E60" s="38">
        <f t="shared" si="3"/>
        <v>99.983818770226549</v>
      </c>
      <c r="F60" s="38">
        <f t="shared" si="4"/>
        <v>-4.9999999999972289E-4</v>
      </c>
    </row>
    <row r="61" spans="1:6" s="6" customFormat="1">
      <c r="A61" s="41" t="s">
        <v>46</v>
      </c>
      <c r="B61" s="42" t="s">
        <v>47</v>
      </c>
      <c r="C61" s="408">
        <f>C62</f>
        <v>89.944999999999993</v>
      </c>
      <c r="D61" s="408">
        <f>D62</f>
        <v>20.000679999999999</v>
      </c>
      <c r="E61" s="34">
        <f t="shared" si="3"/>
        <v>22.23656679081661</v>
      </c>
      <c r="F61" s="34">
        <f t="shared" si="4"/>
        <v>-69.944319999999991</v>
      </c>
    </row>
    <row r="62" spans="1:6">
      <c r="A62" s="43" t="s">
        <v>48</v>
      </c>
      <c r="B62" s="44" t="s">
        <v>49</v>
      </c>
      <c r="C62" s="37">
        <v>89.944999999999993</v>
      </c>
      <c r="D62" s="37">
        <v>20.000679999999999</v>
      </c>
      <c r="E62" s="38">
        <f t="shared" si="3"/>
        <v>22.23656679081661</v>
      </c>
      <c r="F62" s="38">
        <f t="shared" si="4"/>
        <v>-69.944319999999991</v>
      </c>
    </row>
    <row r="63" spans="1:6" s="6" customFormat="1" ht="16.5" customHeight="1">
      <c r="A63" s="30" t="s">
        <v>50</v>
      </c>
      <c r="B63" s="31" t="s">
        <v>51</v>
      </c>
      <c r="C63" s="408">
        <f>C67+C66+C68</f>
        <v>16</v>
      </c>
      <c r="D63" s="408">
        <f>D67+D66</f>
        <v>3.1354299999999999</v>
      </c>
      <c r="E63" s="34">
        <f t="shared" si="3"/>
        <v>19.5964375</v>
      </c>
      <c r="F63" s="34">
        <f t="shared" si="4"/>
        <v>-12.864570000000001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0</v>
      </c>
      <c r="D66" s="37">
        <v>0</v>
      </c>
      <c r="E66" s="34" t="e">
        <f t="shared" si="3"/>
        <v>#DIV/0!</v>
      </c>
      <c r="F66" s="34">
        <f t="shared" si="4"/>
        <v>0</v>
      </c>
    </row>
    <row r="67" spans="1:7" ht="15.75" customHeight="1">
      <c r="A67" s="46" t="s">
        <v>219</v>
      </c>
      <c r="B67" s="47" t="s">
        <v>220</v>
      </c>
      <c r="C67" s="37">
        <v>14</v>
      </c>
      <c r="D67" s="37">
        <v>3.1354299999999999</v>
      </c>
      <c r="E67" s="34">
        <f t="shared" si="3"/>
        <v>22.395928571428573</v>
      </c>
      <c r="F67" s="34">
        <f t="shared" si="4"/>
        <v>-10.864570000000001</v>
      </c>
    </row>
    <row r="68" spans="1:7" ht="15.75" customHeight="1">
      <c r="A68" s="46" t="s">
        <v>358</v>
      </c>
      <c r="B68" s="47" t="s">
        <v>359</v>
      </c>
      <c r="C68" s="37">
        <v>2</v>
      </c>
      <c r="D68" s="37"/>
      <c r="E68" s="34"/>
      <c r="F68" s="34"/>
    </row>
    <row r="69" spans="1:7" s="6" customFormat="1">
      <c r="A69" s="30" t="s">
        <v>58</v>
      </c>
      <c r="B69" s="31" t="s">
        <v>59</v>
      </c>
      <c r="C69" s="456">
        <f>SUM(C70:C73)</f>
        <v>4031.9520299999995</v>
      </c>
      <c r="D69" s="48">
        <f>SUM(D70:D73)</f>
        <v>328.32875999999999</v>
      </c>
      <c r="E69" s="34">
        <f t="shared" si="3"/>
        <v>8.1431712866881512</v>
      </c>
      <c r="F69" s="34">
        <f t="shared" si="4"/>
        <v>-3703.6232699999996</v>
      </c>
    </row>
    <row r="70" spans="1:7" ht="15" customHeight="1">
      <c r="A70" s="35" t="s">
        <v>60</v>
      </c>
      <c r="B70" s="39" t="s">
        <v>61</v>
      </c>
      <c r="C70" s="49">
        <v>8.0429999999999993</v>
      </c>
      <c r="D70" s="37">
        <v>0</v>
      </c>
      <c r="E70" s="38">
        <f t="shared" si="3"/>
        <v>0</v>
      </c>
      <c r="F70" s="38">
        <f t="shared" si="4"/>
        <v>-8.0429999999999993</v>
      </c>
    </row>
    <row r="71" spans="1:7" s="6" customFormat="1" ht="18" customHeight="1">
      <c r="A71" s="35" t="s">
        <v>62</v>
      </c>
      <c r="B71" s="39" t="s">
        <v>63</v>
      </c>
      <c r="C71" s="49">
        <v>1230.0246099999999</v>
      </c>
      <c r="D71" s="37">
        <v>20.024609999999999</v>
      </c>
      <c r="E71" s="38">
        <f t="shared" si="3"/>
        <v>1.6279845002450806</v>
      </c>
      <c r="F71" s="38">
        <f t="shared" si="4"/>
        <v>-1210</v>
      </c>
      <c r="G71" s="50"/>
    </row>
    <row r="72" spans="1:7">
      <c r="A72" s="35" t="s">
        <v>64</v>
      </c>
      <c r="B72" s="39" t="s">
        <v>65</v>
      </c>
      <c r="C72" s="49">
        <v>2723.8844199999999</v>
      </c>
      <c r="D72" s="37">
        <v>248.34952999999999</v>
      </c>
      <c r="E72" s="38">
        <f t="shared" si="3"/>
        <v>9.1174767980794122</v>
      </c>
      <c r="F72" s="38">
        <f t="shared" si="4"/>
        <v>-2475.5348899999999</v>
      </c>
    </row>
    <row r="73" spans="1:7">
      <c r="A73" s="35" t="s">
        <v>66</v>
      </c>
      <c r="B73" s="39" t="s">
        <v>67</v>
      </c>
      <c r="C73" s="49">
        <v>70</v>
      </c>
      <c r="D73" s="37">
        <v>59.954619999999998</v>
      </c>
      <c r="E73" s="38">
        <f t="shared" si="3"/>
        <v>85.649457142857145</v>
      </c>
      <c r="F73" s="38">
        <f t="shared" si="4"/>
        <v>-10.045380000000002</v>
      </c>
    </row>
    <row r="74" spans="1:7" s="6" customFormat="1" ht="16.5" customHeight="1">
      <c r="A74" s="30" t="s">
        <v>68</v>
      </c>
      <c r="B74" s="31" t="s">
        <v>69</v>
      </c>
      <c r="C74" s="455">
        <f>SUM(C75:C77)</f>
        <v>233.28959</v>
      </c>
      <c r="D74" s="32">
        <f>SUM(D76:D77)</f>
        <v>132.79785000000001</v>
      </c>
      <c r="E74" s="34">
        <f t="shared" si="3"/>
        <v>56.924035916047522</v>
      </c>
      <c r="F74" s="34">
        <f t="shared" si="4"/>
        <v>-100.49173999999999</v>
      </c>
    </row>
    <row r="75" spans="1:7" hidden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hidden="1" customHeight="1">
      <c r="A76" s="35" t="s">
        <v>72</v>
      </c>
      <c r="B76" s="51" t="s">
        <v>73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74</v>
      </c>
      <c r="B77" s="39" t="s">
        <v>75</v>
      </c>
      <c r="C77" s="37">
        <v>233.28959</v>
      </c>
      <c r="D77" s="37">
        <v>132.79785000000001</v>
      </c>
      <c r="E77" s="38">
        <f>SUM(D77/C77*100)</f>
        <v>56.924035916047522</v>
      </c>
      <c r="F77" s="38">
        <f t="shared" si="4"/>
        <v>-100.49173999999999</v>
      </c>
    </row>
    <row r="78" spans="1:7" s="6" customFormat="1">
      <c r="A78" s="30" t="s">
        <v>86</v>
      </c>
      <c r="B78" s="31" t="s">
        <v>87</v>
      </c>
      <c r="C78" s="423">
        <f>C79</f>
        <v>6377.6427999999996</v>
      </c>
      <c r="D78" s="32">
        <f>SUM(D79)</f>
        <v>170</v>
      </c>
      <c r="E78" s="34">
        <f t="shared" si="3"/>
        <v>2.6655616397958193</v>
      </c>
      <c r="F78" s="34">
        <f t="shared" si="4"/>
        <v>-6207.6427999999996</v>
      </c>
    </row>
    <row r="79" spans="1:7" ht="36" customHeight="1">
      <c r="A79" s="35" t="s">
        <v>88</v>
      </c>
      <c r="B79" s="39" t="s">
        <v>234</v>
      </c>
      <c r="C79" s="37">
        <v>6377.6427999999996</v>
      </c>
      <c r="D79" s="37">
        <v>170</v>
      </c>
      <c r="E79" s="38">
        <f t="shared" si="3"/>
        <v>2.6655616397958193</v>
      </c>
      <c r="F79" s="38">
        <f t="shared" si="4"/>
        <v>-6207.6427999999996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hidden="1" customHeight="1">
      <c r="A81" s="53">
        <v>1001</v>
      </c>
      <c r="B81" s="54" t="s">
        <v>90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92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hidden="1" customHeight="1">
      <c r="A85" s="30" t="s">
        <v>95</v>
      </c>
      <c r="B85" s="31" t="s">
        <v>96</v>
      </c>
      <c r="C85" s="32">
        <f>C86+C87+C88+C89+C90</f>
        <v>2</v>
      </c>
      <c r="D85" s="32">
        <f>D86+D87+D88+D89+D90</f>
        <v>1.2849999999999999</v>
      </c>
      <c r="E85" s="38">
        <f t="shared" si="3"/>
        <v>64.25</v>
      </c>
      <c r="F85" s="22">
        <f>F86+F87+F88+F89+F90</f>
        <v>-0.71500000000000008</v>
      </c>
    </row>
    <row r="86" spans="1:6" ht="15" customHeight="1">
      <c r="A86" s="35" t="s">
        <v>97</v>
      </c>
      <c r="B86" s="39" t="s">
        <v>98</v>
      </c>
      <c r="C86" s="344">
        <v>2</v>
      </c>
      <c r="D86" s="344">
        <v>1.2849999999999999</v>
      </c>
      <c r="E86" s="38">
        <f t="shared" si="3"/>
        <v>64.25</v>
      </c>
      <c r="F86" s="38">
        <f>SUM(D86-C86)</f>
        <v>-0.71500000000000008</v>
      </c>
    </row>
    <row r="87" spans="1:6" ht="15.75" hidden="1" customHeight="1">
      <c r="A87" s="35" t="s">
        <v>99</v>
      </c>
      <c r="B87" s="39" t="s">
        <v>100</v>
      </c>
      <c r="C87" s="344"/>
      <c r="D87" s="344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44"/>
      <c r="D88" s="344"/>
      <c r="E88" s="38" t="e">
        <f t="shared" si="3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44"/>
      <c r="D89" s="344"/>
      <c r="E89" s="38" t="e">
        <f t="shared" si="3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44"/>
      <c r="D90" s="344"/>
      <c r="E90" s="38" t="e">
        <f t="shared" si="3"/>
        <v>#DIV/0!</v>
      </c>
      <c r="F90" s="38"/>
    </row>
    <row r="91" spans="1:6" s="6" customFormat="1" ht="16.5" hidden="1" customHeight="1">
      <c r="A91" s="52">
        <v>1400</v>
      </c>
      <c r="B91" s="56" t="s">
        <v>115</v>
      </c>
      <c r="C91" s="345">
        <f>C92+C93+C94</f>
        <v>0</v>
      </c>
      <c r="D91" s="345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116</v>
      </c>
      <c r="C92" s="346"/>
      <c r="D92" s="344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117</v>
      </c>
      <c r="C93" s="346"/>
      <c r="D93" s="344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118</v>
      </c>
      <c r="C94" s="347">
        <v>0</v>
      </c>
      <c r="D94" s="348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119</v>
      </c>
      <c r="C95" s="370">
        <f>C53+C61+C63+C69+C74+C78+C85</f>
        <v>12045.491419999998</v>
      </c>
      <c r="D95" s="370">
        <f>D53+D61+D63+D69+D74+D78+D85</f>
        <v>894.58755999999994</v>
      </c>
      <c r="E95" s="34">
        <f t="shared" si="3"/>
        <v>7.4267419136976986</v>
      </c>
      <c r="F95" s="34">
        <f t="shared" si="4"/>
        <v>-11150.903859999999</v>
      </c>
    </row>
    <row r="96" spans="1:6" ht="16.5" customHeight="1">
      <c r="C96" s="126"/>
      <c r="D96" s="101"/>
    </row>
    <row r="97" spans="1:4" s="113" customFormat="1" ht="20.25" customHeight="1">
      <c r="A97" s="111" t="s">
        <v>120</v>
      </c>
      <c r="B97" s="111"/>
      <c r="C97" s="129"/>
      <c r="D97" s="112"/>
    </row>
    <row r="98" spans="1:4" s="113" customFormat="1" ht="13.5" customHeight="1">
      <c r="A98" s="114" t="s">
        <v>121</v>
      </c>
      <c r="B98" s="114"/>
      <c r="C98" s="118" t="s">
        <v>122</v>
      </c>
    </row>
    <row r="100" spans="1:4" ht="5.25" customHeight="1"/>
  </sheetData>
  <customSheetViews>
    <customSheetView guid="{35821C05-60FE-4C33-8558-8CF10812F6FC}" hiddenRows="1" topLeftCell="A6">
      <selection activeCell="D28" sqref="D28"/>
      <pageMargins left="0.7" right="0.7" top="0.75" bottom="0.75" header="0.3" footer="0.3"/>
      <pageSetup paperSize="9" scale="62" orientation="portrait" r:id="rId1"/>
    </customSheetView>
    <customSheetView guid="{B31C8DB7-3E78-4144-A6B5-8DE36DE63F0E}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61528DAC-5C4C-48F4-ADE2-8A724B05A086}" scale="70" showPageBreaks="1" hiddenRows="1" view="pageBreakPreview" topLeftCell="A9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 topLeftCell="A26">
      <selection activeCell="C63" sqref="C63"/>
      <pageMargins left="0.70866141732283472" right="0.70866141732283472" top="0.74803149606299213" bottom="0.74803149606299213" header="0.31496062992125984" footer="0.31496062992125984"/>
      <pageSetup paperSize="9" scale="51" orientation="portrait" r:id="rId4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5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6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7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9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2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5"/>
  <sheetViews>
    <sheetView view="pageBreakPreview" topLeftCell="A10" zoomScale="75" zoomScaleNormal="100" zoomScaleSheetLayoutView="75" workbookViewId="0">
      <pane xSplit="2" ySplit="4" topLeftCell="BE14" activePane="bottomRight" state="frozen"/>
      <selection activeCell="A10" sqref="A10"/>
      <selection pane="topRight" activeCell="C10" sqref="C10"/>
      <selection pane="bottomLeft" activeCell="A14" sqref="A14"/>
      <selection pane="bottomRight" activeCell="CF39" sqref="CF39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8.140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28515625" style="153" customWidth="1"/>
    <col min="67" max="67" width="13.28515625" style="153" customWidth="1"/>
    <col min="68" max="68" width="10.7109375" style="153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13" t="s">
        <v>137</v>
      </c>
      <c r="Y1" s="513"/>
      <c r="Z1" s="513"/>
      <c r="AA1" s="156"/>
      <c r="AB1" s="156"/>
      <c r="AC1" s="156"/>
      <c r="AD1" s="508"/>
      <c r="AE1" s="508"/>
      <c r="AF1" s="508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508"/>
      <c r="AE2" s="508"/>
      <c r="AF2" s="508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512" t="s">
        <v>139</v>
      </c>
      <c r="Y3" s="512"/>
      <c r="Z3" s="512"/>
      <c r="AA3" s="158"/>
      <c r="AB3" s="158"/>
      <c r="AC3" s="158"/>
      <c r="AD3" s="512"/>
      <c r="AE3" s="512"/>
      <c r="AF3" s="512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16" t="s">
        <v>140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14" t="s">
        <v>440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507" t="s">
        <v>141</v>
      </c>
      <c r="B7" s="507" t="s">
        <v>142</v>
      </c>
      <c r="C7" s="498" t="s">
        <v>143</v>
      </c>
      <c r="D7" s="499"/>
      <c r="E7" s="500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98" t="s">
        <v>145</v>
      </c>
      <c r="DH7" s="499"/>
      <c r="DI7" s="500"/>
      <c r="DJ7" s="498"/>
      <c r="DK7" s="499"/>
      <c r="DL7" s="499"/>
      <c r="DM7" s="499"/>
      <c r="DN7" s="499"/>
      <c r="DO7" s="499"/>
      <c r="DP7" s="499"/>
      <c r="DQ7" s="499"/>
      <c r="DR7" s="499"/>
      <c r="DS7" s="499"/>
      <c r="DT7" s="499"/>
      <c r="DU7" s="499"/>
      <c r="DV7" s="499"/>
      <c r="DW7" s="499"/>
      <c r="DX7" s="499"/>
      <c r="DY7" s="499"/>
      <c r="DZ7" s="499"/>
      <c r="EA7" s="499"/>
      <c r="EB7" s="499"/>
      <c r="EC7" s="499"/>
      <c r="ED7" s="499"/>
      <c r="EE7" s="499"/>
      <c r="EF7" s="499"/>
      <c r="EG7" s="499"/>
      <c r="EH7" s="499"/>
      <c r="EI7" s="499"/>
      <c r="EJ7" s="499"/>
      <c r="EK7" s="499"/>
      <c r="EL7" s="499"/>
      <c r="EM7" s="499"/>
      <c r="EN7" s="499"/>
      <c r="EO7" s="499"/>
      <c r="EP7" s="499"/>
      <c r="EQ7" s="499"/>
      <c r="ER7" s="499"/>
      <c r="ES7" s="499"/>
      <c r="ET7" s="499"/>
      <c r="EU7" s="499"/>
      <c r="EV7" s="500"/>
      <c r="EW7" s="498" t="s">
        <v>146</v>
      </c>
      <c r="EX7" s="499"/>
      <c r="EY7" s="500"/>
    </row>
    <row r="8" spans="1:159" s="169" customFormat="1" ht="15" customHeight="1">
      <c r="A8" s="507"/>
      <c r="B8" s="507"/>
      <c r="C8" s="501"/>
      <c r="D8" s="502"/>
      <c r="E8" s="503"/>
      <c r="F8" s="501" t="s">
        <v>147</v>
      </c>
      <c r="G8" s="502"/>
      <c r="H8" s="503"/>
      <c r="I8" s="509" t="s">
        <v>148</v>
      </c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510"/>
      <c r="AG8" s="510"/>
      <c r="AH8" s="510"/>
      <c r="AI8" s="510"/>
      <c r="AJ8" s="510"/>
      <c r="AK8" s="510"/>
      <c r="AL8" s="510"/>
      <c r="AM8" s="510"/>
      <c r="AN8" s="510"/>
      <c r="AO8" s="510"/>
      <c r="AP8" s="510"/>
      <c r="AQ8" s="510"/>
      <c r="AR8" s="510"/>
      <c r="AS8" s="510"/>
      <c r="AT8" s="510"/>
      <c r="AU8" s="510"/>
      <c r="AV8" s="510"/>
      <c r="AW8" s="510"/>
      <c r="AX8" s="511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507" t="s">
        <v>149</v>
      </c>
      <c r="CA8" s="507"/>
      <c r="CB8" s="507"/>
      <c r="CC8" s="504" t="s">
        <v>148</v>
      </c>
      <c r="CD8" s="505"/>
      <c r="CE8" s="505"/>
      <c r="CF8" s="505"/>
      <c r="CG8" s="505"/>
      <c r="CH8" s="505"/>
      <c r="CI8" s="505"/>
      <c r="CJ8" s="505"/>
      <c r="CK8" s="505"/>
      <c r="CL8" s="505"/>
      <c r="CM8" s="505"/>
      <c r="CN8" s="505"/>
      <c r="CO8" s="170"/>
      <c r="CP8" s="170"/>
      <c r="CQ8" s="170"/>
      <c r="CR8" s="170"/>
      <c r="CS8" s="170"/>
      <c r="CT8" s="170"/>
      <c r="CU8" s="175"/>
      <c r="CV8" s="175"/>
      <c r="CW8" s="176"/>
      <c r="CX8" s="501" t="s">
        <v>150</v>
      </c>
      <c r="CY8" s="502"/>
      <c r="CZ8" s="503"/>
      <c r="DA8" s="495"/>
      <c r="DB8" s="496"/>
      <c r="DC8" s="497"/>
      <c r="DD8" s="495"/>
      <c r="DE8" s="496"/>
      <c r="DF8" s="497"/>
      <c r="DG8" s="501"/>
      <c r="DH8" s="502"/>
      <c r="DI8" s="503"/>
      <c r="DJ8" s="501" t="s">
        <v>148</v>
      </c>
      <c r="DK8" s="502"/>
      <c r="DL8" s="502"/>
      <c r="DM8" s="502"/>
      <c r="DN8" s="502"/>
      <c r="DO8" s="502"/>
      <c r="DP8" s="502"/>
      <c r="DQ8" s="502"/>
      <c r="DR8" s="502"/>
      <c r="DS8" s="502"/>
      <c r="DT8" s="502"/>
      <c r="DU8" s="502"/>
      <c r="DV8" s="502"/>
      <c r="DW8" s="502"/>
      <c r="DX8" s="502"/>
      <c r="DY8" s="502"/>
      <c r="DZ8" s="502"/>
      <c r="EA8" s="502"/>
      <c r="EB8" s="502"/>
      <c r="EC8" s="502"/>
      <c r="ED8" s="502"/>
      <c r="EE8" s="502"/>
      <c r="EF8" s="502"/>
      <c r="EG8" s="502"/>
      <c r="EH8" s="502"/>
      <c r="EI8" s="502"/>
      <c r="EJ8" s="502"/>
      <c r="EK8" s="502"/>
      <c r="EL8" s="502"/>
      <c r="EM8" s="502"/>
      <c r="EN8" s="502"/>
      <c r="EO8" s="502"/>
      <c r="EP8" s="502"/>
      <c r="EQ8" s="502"/>
      <c r="ER8" s="502"/>
      <c r="ES8" s="502"/>
      <c r="ET8" s="502"/>
      <c r="EU8" s="502"/>
      <c r="EV8" s="503"/>
      <c r="EW8" s="501"/>
      <c r="EX8" s="502"/>
      <c r="EY8" s="503"/>
    </row>
    <row r="9" spans="1:159" s="169" customFormat="1" ht="15" customHeight="1">
      <c r="A9" s="507"/>
      <c r="B9" s="507"/>
      <c r="C9" s="501"/>
      <c r="D9" s="502"/>
      <c r="E9" s="503"/>
      <c r="F9" s="501"/>
      <c r="G9" s="502"/>
      <c r="H9" s="503"/>
      <c r="I9" s="498" t="s">
        <v>151</v>
      </c>
      <c r="J9" s="499"/>
      <c r="K9" s="500"/>
      <c r="L9" s="498" t="s">
        <v>293</v>
      </c>
      <c r="M9" s="499"/>
      <c r="N9" s="500"/>
      <c r="O9" s="498" t="s">
        <v>296</v>
      </c>
      <c r="P9" s="499"/>
      <c r="Q9" s="500"/>
      <c r="R9" s="498" t="s">
        <v>294</v>
      </c>
      <c r="S9" s="499"/>
      <c r="T9" s="500"/>
      <c r="U9" s="498" t="s">
        <v>295</v>
      </c>
      <c r="V9" s="499"/>
      <c r="W9" s="500"/>
      <c r="X9" s="498" t="s">
        <v>152</v>
      </c>
      <c r="Y9" s="499"/>
      <c r="Z9" s="500"/>
      <c r="AA9" s="498" t="s">
        <v>153</v>
      </c>
      <c r="AB9" s="499"/>
      <c r="AC9" s="500"/>
      <c r="AD9" s="498" t="s">
        <v>154</v>
      </c>
      <c r="AE9" s="499"/>
      <c r="AF9" s="500"/>
      <c r="AG9" s="507" t="s">
        <v>155</v>
      </c>
      <c r="AH9" s="507"/>
      <c r="AI9" s="507"/>
      <c r="AJ9" s="498" t="s">
        <v>255</v>
      </c>
      <c r="AK9" s="499"/>
      <c r="AL9" s="500"/>
      <c r="AM9" s="498" t="s">
        <v>156</v>
      </c>
      <c r="AN9" s="499"/>
      <c r="AO9" s="500"/>
      <c r="AP9" s="498" t="s">
        <v>346</v>
      </c>
      <c r="AQ9" s="499"/>
      <c r="AR9" s="500"/>
      <c r="AS9" s="498" t="s">
        <v>157</v>
      </c>
      <c r="AT9" s="499"/>
      <c r="AU9" s="500"/>
      <c r="AV9" s="498" t="s">
        <v>158</v>
      </c>
      <c r="AW9" s="499"/>
      <c r="AX9" s="500"/>
      <c r="AY9" s="498" t="s">
        <v>257</v>
      </c>
      <c r="AZ9" s="499"/>
      <c r="BA9" s="500"/>
      <c r="BB9" s="498" t="s">
        <v>356</v>
      </c>
      <c r="BC9" s="499"/>
      <c r="BD9" s="500"/>
      <c r="BE9" s="498" t="s">
        <v>159</v>
      </c>
      <c r="BF9" s="499"/>
      <c r="BG9" s="500"/>
      <c r="BH9" s="498" t="s">
        <v>160</v>
      </c>
      <c r="BI9" s="499"/>
      <c r="BJ9" s="500"/>
      <c r="BK9" s="498" t="s">
        <v>286</v>
      </c>
      <c r="BL9" s="499"/>
      <c r="BM9" s="500"/>
      <c r="BN9" s="498" t="s">
        <v>253</v>
      </c>
      <c r="BO9" s="499"/>
      <c r="BP9" s="500"/>
      <c r="BQ9" s="498" t="s">
        <v>161</v>
      </c>
      <c r="BR9" s="499"/>
      <c r="BS9" s="500"/>
      <c r="BT9" s="498" t="s">
        <v>162</v>
      </c>
      <c r="BU9" s="499"/>
      <c r="BV9" s="500"/>
      <c r="BW9" s="501" t="s">
        <v>163</v>
      </c>
      <c r="BX9" s="502"/>
      <c r="BY9" s="502"/>
      <c r="BZ9" s="507"/>
      <c r="CA9" s="507"/>
      <c r="CB9" s="507"/>
      <c r="CC9" s="498" t="s">
        <v>347</v>
      </c>
      <c r="CD9" s="499"/>
      <c r="CE9" s="500"/>
      <c r="CF9" s="498" t="s">
        <v>348</v>
      </c>
      <c r="CG9" s="499"/>
      <c r="CH9" s="500"/>
      <c r="CI9" s="498" t="s">
        <v>164</v>
      </c>
      <c r="CJ9" s="499"/>
      <c r="CK9" s="500"/>
      <c r="CL9" s="498" t="s">
        <v>165</v>
      </c>
      <c r="CM9" s="499"/>
      <c r="CN9" s="500"/>
      <c r="CO9" s="498" t="s">
        <v>24</v>
      </c>
      <c r="CP9" s="499"/>
      <c r="CQ9" s="500"/>
      <c r="CR9" s="498" t="s">
        <v>303</v>
      </c>
      <c r="CS9" s="499"/>
      <c r="CT9" s="500"/>
      <c r="CU9" s="498" t="s">
        <v>349</v>
      </c>
      <c r="CV9" s="499"/>
      <c r="CW9" s="500"/>
      <c r="CX9" s="501"/>
      <c r="CY9" s="502"/>
      <c r="CZ9" s="503"/>
      <c r="DA9" s="498" t="s">
        <v>271</v>
      </c>
      <c r="DB9" s="499"/>
      <c r="DC9" s="500"/>
      <c r="DD9" s="507" t="s">
        <v>166</v>
      </c>
      <c r="DE9" s="507"/>
      <c r="DF9" s="507"/>
      <c r="DG9" s="501"/>
      <c r="DH9" s="502"/>
      <c r="DI9" s="503"/>
      <c r="DJ9" s="526" t="s">
        <v>167</v>
      </c>
      <c r="DK9" s="527"/>
      <c r="DL9" s="528"/>
      <c r="DM9" s="520" t="s">
        <v>144</v>
      </c>
      <c r="DN9" s="521"/>
      <c r="DO9" s="521"/>
      <c r="DP9" s="521"/>
      <c r="DQ9" s="521"/>
      <c r="DR9" s="521"/>
      <c r="DS9" s="521"/>
      <c r="DT9" s="521"/>
      <c r="DU9" s="521"/>
      <c r="DV9" s="521"/>
      <c r="DW9" s="521"/>
      <c r="DX9" s="522"/>
      <c r="DY9" s="526" t="s">
        <v>168</v>
      </c>
      <c r="DZ9" s="527"/>
      <c r="EA9" s="528"/>
      <c r="EB9" s="526" t="s">
        <v>169</v>
      </c>
      <c r="EC9" s="527"/>
      <c r="ED9" s="528"/>
      <c r="EE9" s="526" t="s">
        <v>170</v>
      </c>
      <c r="EF9" s="527"/>
      <c r="EG9" s="528"/>
      <c r="EH9" s="526" t="s">
        <v>171</v>
      </c>
      <c r="EI9" s="527"/>
      <c r="EJ9" s="528"/>
      <c r="EK9" s="498" t="s">
        <v>297</v>
      </c>
      <c r="EL9" s="499"/>
      <c r="EM9" s="500"/>
      <c r="EN9" s="498" t="s">
        <v>172</v>
      </c>
      <c r="EO9" s="499"/>
      <c r="EP9" s="500"/>
      <c r="EQ9" s="498" t="s">
        <v>329</v>
      </c>
      <c r="ER9" s="499"/>
      <c r="ES9" s="500"/>
      <c r="ET9" s="507" t="s">
        <v>299</v>
      </c>
      <c r="EU9" s="507"/>
      <c r="EV9" s="507"/>
      <c r="EW9" s="501"/>
      <c r="EX9" s="502"/>
      <c r="EY9" s="503"/>
    </row>
    <row r="10" spans="1:159" s="169" customFormat="1" ht="38.25" customHeight="1">
      <c r="A10" s="507"/>
      <c r="B10" s="507"/>
      <c r="C10" s="501"/>
      <c r="D10" s="502"/>
      <c r="E10" s="503"/>
      <c r="F10" s="501"/>
      <c r="G10" s="502"/>
      <c r="H10" s="503"/>
      <c r="I10" s="501"/>
      <c r="J10" s="502"/>
      <c r="K10" s="503"/>
      <c r="L10" s="501"/>
      <c r="M10" s="502"/>
      <c r="N10" s="503"/>
      <c r="O10" s="501"/>
      <c r="P10" s="502"/>
      <c r="Q10" s="503"/>
      <c r="R10" s="501"/>
      <c r="S10" s="502"/>
      <c r="T10" s="503"/>
      <c r="U10" s="501"/>
      <c r="V10" s="502"/>
      <c r="W10" s="503"/>
      <c r="X10" s="501"/>
      <c r="Y10" s="502"/>
      <c r="Z10" s="503"/>
      <c r="AA10" s="501"/>
      <c r="AB10" s="502"/>
      <c r="AC10" s="503"/>
      <c r="AD10" s="501"/>
      <c r="AE10" s="502"/>
      <c r="AF10" s="503"/>
      <c r="AG10" s="507"/>
      <c r="AH10" s="507"/>
      <c r="AI10" s="507"/>
      <c r="AJ10" s="501"/>
      <c r="AK10" s="502"/>
      <c r="AL10" s="503"/>
      <c r="AM10" s="501"/>
      <c r="AN10" s="502"/>
      <c r="AO10" s="503"/>
      <c r="AP10" s="501"/>
      <c r="AQ10" s="502"/>
      <c r="AR10" s="503"/>
      <c r="AS10" s="501"/>
      <c r="AT10" s="502"/>
      <c r="AU10" s="503"/>
      <c r="AV10" s="501"/>
      <c r="AW10" s="502"/>
      <c r="AX10" s="503"/>
      <c r="AY10" s="501"/>
      <c r="AZ10" s="502"/>
      <c r="BA10" s="503"/>
      <c r="BB10" s="501"/>
      <c r="BC10" s="502"/>
      <c r="BD10" s="503"/>
      <c r="BE10" s="501"/>
      <c r="BF10" s="502"/>
      <c r="BG10" s="503"/>
      <c r="BH10" s="501"/>
      <c r="BI10" s="502"/>
      <c r="BJ10" s="503"/>
      <c r="BK10" s="501"/>
      <c r="BL10" s="502"/>
      <c r="BM10" s="503"/>
      <c r="BN10" s="501"/>
      <c r="BO10" s="502"/>
      <c r="BP10" s="503"/>
      <c r="BQ10" s="501"/>
      <c r="BR10" s="502"/>
      <c r="BS10" s="503"/>
      <c r="BT10" s="501"/>
      <c r="BU10" s="502"/>
      <c r="BV10" s="503"/>
      <c r="BW10" s="501"/>
      <c r="BX10" s="502"/>
      <c r="BY10" s="502"/>
      <c r="BZ10" s="507"/>
      <c r="CA10" s="507"/>
      <c r="CB10" s="507"/>
      <c r="CC10" s="501"/>
      <c r="CD10" s="502"/>
      <c r="CE10" s="503"/>
      <c r="CF10" s="501"/>
      <c r="CG10" s="502"/>
      <c r="CH10" s="503"/>
      <c r="CI10" s="501"/>
      <c r="CJ10" s="502"/>
      <c r="CK10" s="503"/>
      <c r="CL10" s="501"/>
      <c r="CM10" s="502"/>
      <c r="CN10" s="503"/>
      <c r="CO10" s="501"/>
      <c r="CP10" s="502"/>
      <c r="CQ10" s="503"/>
      <c r="CR10" s="501"/>
      <c r="CS10" s="502"/>
      <c r="CT10" s="503"/>
      <c r="CU10" s="501"/>
      <c r="CV10" s="502"/>
      <c r="CW10" s="503"/>
      <c r="CX10" s="501"/>
      <c r="CY10" s="502"/>
      <c r="CZ10" s="503"/>
      <c r="DA10" s="501"/>
      <c r="DB10" s="502"/>
      <c r="DC10" s="503"/>
      <c r="DD10" s="507"/>
      <c r="DE10" s="507"/>
      <c r="DF10" s="507"/>
      <c r="DG10" s="501"/>
      <c r="DH10" s="502"/>
      <c r="DI10" s="503"/>
      <c r="DJ10" s="529"/>
      <c r="DK10" s="530"/>
      <c r="DL10" s="531"/>
      <c r="DM10" s="315"/>
      <c r="DN10" s="316"/>
      <c r="DO10" s="316"/>
      <c r="DP10" s="318"/>
      <c r="DQ10" s="318"/>
      <c r="DR10" s="318"/>
      <c r="DS10" s="316"/>
      <c r="DT10" s="316"/>
      <c r="DU10" s="316"/>
      <c r="DV10" s="316"/>
      <c r="DW10" s="316"/>
      <c r="DX10" s="317"/>
      <c r="DY10" s="529"/>
      <c r="DZ10" s="530"/>
      <c r="EA10" s="531"/>
      <c r="EB10" s="529"/>
      <c r="EC10" s="530"/>
      <c r="ED10" s="531"/>
      <c r="EE10" s="529"/>
      <c r="EF10" s="530"/>
      <c r="EG10" s="531"/>
      <c r="EH10" s="529"/>
      <c r="EI10" s="530"/>
      <c r="EJ10" s="531"/>
      <c r="EK10" s="501"/>
      <c r="EL10" s="502"/>
      <c r="EM10" s="503"/>
      <c r="EN10" s="501"/>
      <c r="EO10" s="502"/>
      <c r="EP10" s="503"/>
      <c r="EQ10" s="501"/>
      <c r="ER10" s="502"/>
      <c r="ES10" s="503"/>
      <c r="ET10" s="507"/>
      <c r="EU10" s="507"/>
      <c r="EV10" s="507"/>
      <c r="EW10" s="501"/>
      <c r="EX10" s="502"/>
      <c r="EY10" s="503"/>
    </row>
    <row r="11" spans="1:159" s="169" customFormat="1" ht="177.75" customHeight="1">
      <c r="A11" s="507"/>
      <c r="B11" s="507"/>
      <c r="C11" s="504"/>
      <c r="D11" s="505"/>
      <c r="E11" s="517"/>
      <c r="F11" s="504"/>
      <c r="G11" s="505"/>
      <c r="H11" s="506"/>
      <c r="I11" s="504"/>
      <c r="J11" s="505"/>
      <c r="K11" s="506"/>
      <c r="L11" s="504"/>
      <c r="M11" s="505"/>
      <c r="N11" s="506"/>
      <c r="O11" s="504"/>
      <c r="P11" s="505"/>
      <c r="Q11" s="506"/>
      <c r="R11" s="504"/>
      <c r="S11" s="505"/>
      <c r="T11" s="506"/>
      <c r="U11" s="504"/>
      <c r="V11" s="505"/>
      <c r="W11" s="506"/>
      <c r="X11" s="504"/>
      <c r="Y11" s="505"/>
      <c r="Z11" s="506"/>
      <c r="AA11" s="504"/>
      <c r="AB11" s="505"/>
      <c r="AC11" s="506"/>
      <c r="AD11" s="504"/>
      <c r="AE11" s="505"/>
      <c r="AF11" s="506"/>
      <c r="AG11" s="507"/>
      <c r="AH11" s="507"/>
      <c r="AI11" s="507"/>
      <c r="AJ11" s="504"/>
      <c r="AK11" s="505"/>
      <c r="AL11" s="506"/>
      <c r="AM11" s="504"/>
      <c r="AN11" s="505"/>
      <c r="AO11" s="506"/>
      <c r="AP11" s="504"/>
      <c r="AQ11" s="505"/>
      <c r="AR11" s="506"/>
      <c r="AS11" s="504"/>
      <c r="AT11" s="505"/>
      <c r="AU11" s="506"/>
      <c r="AV11" s="504"/>
      <c r="AW11" s="505"/>
      <c r="AX11" s="506"/>
      <c r="AY11" s="504"/>
      <c r="AZ11" s="505"/>
      <c r="BA11" s="506"/>
      <c r="BB11" s="504"/>
      <c r="BC11" s="505"/>
      <c r="BD11" s="506"/>
      <c r="BE11" s="504"/>
      <c r="BF11" s="505"/>
      <c r="BG11" s="506"/>
      <c r="BH11" s="504"/>
      <c r="BI11" s="505"/>
      <c r="BJ11" s="506"/>
      <c r="BK11" s="504"/>
      <c r="BL11" s="505"/>
      <c r="BM11" s="506"/>
      <c r="BN11" s="504"/>
      <c r="BO11" s="505"/>
      <c r="BP11" s="506"/>
      <c r="BQ11" s="504"/>
      <c r="BR11" s="505"/>
      <c r="BS11" s="506"/>
      <c r="BT11" s="504"/>
      <c r="BU11" s="505"/>
      <c r="BV11" s="506"/>
      <c r="BW11" s="504"/>
      <c r="BX11" s="505"/>
      <c r="BY11" s="505"/>
      <c r="BZ11" s="507"/>
      <c r="CA11" s="507"/>
      <c r="CB11" s="507"/>
      <c r="CC11" s="504"/>
      <c r="CD11" s="505"/>
      <c r="CE11" s="506"/>
      <c r="CF11" s="504"/>
      <c r="CG11" s="505"/>
      <c r="CH11" s="506"/>
      <c r="CI11" s="504"/>
      <c r="CJ11" s="505"/>
      <c r="CK11" s="506"/>
      <c r="CL11" s="504"/>
      <c r="CM11" s="505"/>
      <c r="CN11" s="506"/>
      <c r="CO11" s="504"/>
      <c r="CP11" s="505"/>
      <c r="CQ11" s="506"/>
      <c r="CR11" s="504"/>
      <c r="CS11" s="505"/>
      <c r="CT11" s="506"/>
      <c r="CU11" s="504"/>
      <c r="CV11" s="505"/>
      <c r="CW11" s="506"/>
      <c r="CX11" s="504"/>
      <c r="CY11" s="505"/>
      <c r="CZ11" s="506"/>
      <c r="DA11" s="504"/>
      <c r="DB11" s="505"/>
      <c r="DC11" s="506"/>
      <c r="DD11" s="507"/>
      <c r="DE11" s="507"/>
      <c r="DF11" s="507"/>
      <c r="DG11" s="504"/>
      <c r="DH11" s="505"/>
      <c r="DI11" s="506"/>
      <c r="DJ11" s="523"/>
      <c r="DK11" s="524"/>
      <c r="DL11" s="525"/>
      <c r="DM11" s="523" t="s">
        <v>173</v>
      </c>
      <c r="DN11" s="524"/>
      <c r="DO11" s="525"/>
      <c r="DP11" s="520" t="s">
        <v>174</v>
      </c>
      <c r="DQ11" s="521"/>
      <c r="DR11" s="522"/>
      <c r="DS11" s="523" t="s">
        <v>175</v>
      </c>
      <c r="DT11" s="524"/>
      <c r="DU11" s="525"/>
      <c r="DV11" s="523" t="s">
        <v>250</v>
      </c>
      <c r="DW11" s="524"/>
      <c r="DX11" s="525"/>
      <c r="DY11" s="523"/>
      <c r="DZ11" s="524"/>
      <c r="EA11" s="525"/>
      <c r="EB11" s="523"/>
      <c r="EC11" s="524"/>
      <c r="ED11" s="525"/>
      <c r="EE11" s="523"/>
      <c r="EF11" s="524"/>
      <c r="EG11" s="525"/>
      <c r="EH11" s="523"/>
      <c r="EI11" s="524"/>
      <c r="EJ11" s="525"/>
      <c r="EK11" s="504"/>
      <c r="EL11" s="505"/>
      <c r="EM11" s="506"/>
      <c r="EN11" s="504"/>
      <c r="EO11" s="505"/>
      <c r="EP11" s="506"/>
      <c r="EQ11" s="504"/>
      <c r="ER11" s="505"/>
      <c r="ES11" s="506"/>
      <c r="ET11" s="507"/>
      <c r="EU11" s="507"/>
      <c r="EV11" s="507"/>
      <c r="EW11" s="504"/>
      <c r="EX11" s="505"/>
      <c r="EY11" s="506"/>
      <c r="FA11" s="174"/>
      <c r="FB11" s="174"/>
      <c r="FC11" s="174"/>
    </row>
    <row r="12" spans="1:159" s="169" customFormat="1" ht="42.75" customHeight="1">
      <c r="A12" s="507"/>
      <c r="B12" s="507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458">
        <f>F14+BZ14</f>
        <v>3474.2301499999999</v>
      </c>
      <c r="D14" s="444">
        <f t="shared" ref="D14:D29" si="0">G14+CA14+CY14</f>
        <v>610.99794999999995</v>
      </c>
      <c r="E14" s="184">
        <f t="shared" ref="E14:E29" si="1">D14/C14*100</f>
        <v>17.586570941478932</v>
      </c>
      <c r="F14" s="185">
        <f t="shared" ref="F14:F29" si="2">I14+X14+AA14+AD14+AG14+AM14+AS14+BE14+BQ14+BN14+AJ14+AY14+L14+R14+O14+U14+AP14</f>
        <v>592.81500000000005</v>
      </c>
      <c r="G14" s="185">
        <f t="shared" ref="G14:G29" si="3">J14+Y14+AB14+AE14+AH14+AN14+AT14+BF14+AK14+BR14+BO14+AZ14+M14+S14+P14+V14+AQ14</f>
        <v>113.45295</v>
      </c>
      <c r="H14" s="184">
        <f>G14/F14*100</f>
        <v>19.138002580906353</v>
      </c>
      <c r="I14" s="289">
        <f>Але!C6</f>
        <v>68.849999999999994</v>
      </c>
      <c r="J14" s="291">
        <f>Але!D6</f>
        <v>17.649239999999999</v>
      </c>
      <c r="K14" s="184">
        <f>J14/I14*100</f>
        <v>25.63433551198257</v>
      </c>
      <c r="L14" s="184">
        <f>Але!C8</f>
        <v>82.8</v>
      </c>
      <c r="M14" s="184">
        <f>Але!D8</f>
        <v>28.61505</v>
      </c>
      <c r="N14" s="184">
        <f>M14/L14*100</f>
        <v>34.559239130434783</v>
      </c>
      <c r="O14" s="184">
        <f>Але!C9</f>
        <v>0.86499999999999999</v>
      </c>
      <c r="P14" s="184">
        <f>Але!D9</f>
        <v>0.19994000000000001</v>
      </c>
      <c r="Q14" s="184">
        <f>P14/O14*100</f>
        <v>23.114450867052025</v>
      </c>
      <c r="R14" s="184">
        <f>Але!C10</f>
        <v>138.30000000000001</v>
      </c>
      <c r="S14" s="184">
        <f>Але!D10</f>
        <v>41.955570000000002</v>
      </c>
      <c r="T14" s="184">
        <f>S14/R14*100</f>
        <v>30.336637744034707</v>
      </c>
      <c r="U14" s="184">
        <f>Але!C11</f>
        <v>0</v>
      </c>
      <c r="V14" s="395">
        <f>Але!D11</f>
        <v>-5.6316600000000001</v>
      </c>
      <c r="W14" s="184" t="e">
        <f>V14/U14*100</f>
        <v>#DIV/0!</v>
      </c>
      <c r="X14" s="186">
        <f>Але!C13</f>
        <v>2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394">
        <f>Але!D15</f>
        <v>10.111370000000001</v>
      </c>
      <c r="AC14" s="184">
        <f>AB14/AA14*100</f>
        <v>25.278425000000006</v>
      </c>
      <c r="AD14" s="186">
        <f>Але!C16</f>
        <v>200</v>
      </c>
      <c r="AE14" s="186">
        <f>Але!D16</f>
        <v>14.068910000000001</v>
      </c>
      <c r="AF14" s="184">
        <f t="shared" ref="AF14:AF29" si="4">AE14/AD14*100</f>
        <v>7.0344550000000003</v>
      </c>
      <c r="AG14" s="184">
        <f>Але!C18</f>
        <v>5</v>
      </c>
      <c r="AH14" s="184">
        <f>Але!D18</f>
        <v>0.1</v>
      </c>
      <c r="AI14" s="184">
        <f>AH14/AG14*100</f>
        <v>2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55</v>
      </c>
      <c r="AQ14" s="432">
        <f>Але!D27</f>
        <v>0</v>
      </c>
      <c r="AR14" s="184">
        <f>AQ14/AP14*100</f>
        <v>0</v>
      </c>
      <c r="AS14" s="188">
        <f>Але!C28</f>
        <v>0</v>
      </c>
      <c r="AT14" s="203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226">
        <f>Але!D29</f>
        <v>6.3845299999999998</v>
      </c>
      <c r="BA14" s="184" t="e">
        <f>AZ14/AY14*100</f>
        <v>#DIV/0!</v>
      </c>
      <c r="BB14" s="184">
        <f>Але!C30</f>
        <v>0</v>
      </c>
      <c r="BC14" s="184">
        <f>Але!D30</f>
        <v>6.3845299999999998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2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2881.4151499999998</v>
      </c>
      <c r="CA14" s="186">
        <f>CD14+CG14+CJ14+CM14+CS14+CP14+CV14</f>
        <v>497.54499999999996</v>
      </c>
      <c r="CB14" s="184">
        <f>CA14/BZ14*100</f>
        <v>17.267383355015678</v>
      </c>
      <c r="CC14" s="187">
        <f>Але!C39</f>
        <v>1200.7</v>
      </c>
      <c r="CD14" s="187">
        <f>Але!D39</f>
        <v>300.17399999999998</v>
      </c>
      <c r="CE14" s="184">
        <f>CD14/CC14*100</f>
        <v>24.999916715249434</v>
      </c>
      <c r="CF14" s="184">
        <f>Але!C40</f>
        <v>340</v>
      </c>
      <c r="CG14" s="184">
        <f>Але!D40</f>
        <v>27.5</v>
      </c>
      <c r="CH14" s="184">
        <f>CG14/CF14*100</f>
        <v>8.0882352941176467</v>
      </c>
      <c r="CI14" s="184">
        <f>Але!C41</f>
        <v>1188.7561900000001</v>
      </c>
      <c r="CJ14" s="184">
        <f>Але!D41</f>
        <v>87.12</v>
      </c>
      <c r="CK14" s="184">
        <f t="shared" ref="CK14:CK29" si="7">CJ14/CI14*100</f>
        <v>7.3286684631269932</v>
      </c>
      <c r="CL14" s="184">
        <f>Але!C42</f>
        <v>91.480999999999995</v>
      </c>
      <c r="CM14" s="184">
        <f>Але!D42</f>
        <v>22.251000000000001</v>
      </c>
      <c r="CN14" s="184">
        <f t="shared" ref="CN14:CN31" si="8">CM14/CL14*100</f>
        <v>24.3230834818159</v>
      </c>
      <c r="CO14" s="184"/>
      <c r="CP14" s="184"/>
      <c r="CQ14" s="184"/>
      <c r="CR14" s="395">
        <f>Але!C43</f>
        <v>60.477960000000003</v>
      </c>
      <c r="CS14" s="184">
        <f>Але!D43</f>
        <v>60.5</v>
      </c>
      <c r="CT14" s="184">
        <f t="shared" ref="CT14:CT31" si="9">CS14/CR14*100</f>
        <v>100.03644302817092</v>
      </c>
      <c r="CU14" s="184"/>
      <c r="CV14" s="184">
        <f>Але!D45</f>
        <v>0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8">
        <f>DJ14+DY14+EB14+EE14+EH14+EK14+EN14+EQ14+ET14</f>
        <v>3688.06639</v>
      </c>
      <c r="DH14" s="188">
        <f>DK14+DZ14+EC14+EF14+EI14+EL14+EO14+ER14+EU14</f>
        <v>343.21055999999999</v>
      </c>
      <c r="DI14" s="184">
        <f>DH14/DG14*100</f>
        <v>9.3059756443267272</v>
      </c>
      <c r="DJ14" s="186">
        <f>DM14+DP14+DS14+DV14</f>
        <v>1083.4159999999999</v>
      </c>
      <c r="DK14" s="186">
        <f>DN14+DQ14+DT14+DW14</f>
        <v>193.13162</v>
      </c>
      <c r="DL14" s="184">
        <f>DK14/DJ14*100</f>
        <v>17.826173879654721</v>
      </c>
      <c r="DM14" s="184">
        <f>Але!C54</f>
        <v>1076.0999999999999</v>
      </c>
      <c r="DN14" s="184">
        <f>Але!D54</f>
        <v>190.81612000000001</v>
      </c>
      <c r="DO14" s="184">
        <f>DN14/DM14*100</f>
        <v>17.732192175448379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2.3159999999999998</v>
      </c>
      <c r="DW14" s="184">
        <f>Але!D59</f>
        <v>2.3155000000000001</v>
      </c>
      <c r="DX14" s="184">
        <f>DW14/DV14*100</f>
        <v>99.978411053540597</v>
      </c>
      <c r="DY14" s="184">
        <f>Але!C61</f>
        <v>89.944999999999993</v>
      </c>
      <c r="DZ14" s="184">
        <f>Але!D61</f>
        <v>17.09</v>
      </c>
      <c r="EA14" s="184">
        <f>DZ14/DY14*100</f>
        <v>19.000500305742399</v>
      </c>
      <c r="EB14" s="184">
        <f>Але!C62</f>
        <v>14</v>
      </c>
      <c r="EC14" s="184">
        <f>Але!D62</f>
        <v>0</v>
      </c>
      <c r="ED14" s="184">
        <f>EC14/EB14*100</f>
        <v>0</v>
      </c>
      <c r="EE14" s="186">
        <f>Але!C68</f>
        <v>1701.7858899999999</v>
      </c>
      <c r="EF14" s="186">
        <f>Але!D68</f>
        <v>19.056629999999998</v>
      </c>
      <c r="EG14" s="184">
        <f>EF14/EE14*100</f>
        <v>1.1198018570949604</v>
      </c>
      <c r="EH14" s="186">
        <f>Але!C73</f>
        <v>518.81949999999995</v>
      </c>
      <c r="EI14" s="186">
        <f>Але!D73</f>
        <v>44.932310000000001</v>
      </c>
      <c r="EJ14" s="184">
        <f>EI14/EH14*100</f>
        <v>8.6604898235320782</v>
      </c>
      <c r="EK14" s="186">
        <f>Але!C77</f>
        <v>276.10000000000002</v>
      </c>
      <c r="EL14" s="190">
        <f>Але!D77</f>
        <v>69</v>
      </c>
      <c r="EM14" s="184">
        <f t="shared" ref="EM14:EM29" si="10">EL14/EK14*100</f>
        <v>24.990945309670405</v>
      </c>
      <c r="EN14" s="184">
        <f>Але!C79</f>
        <v>0</v>
      </c>
      <c r="EO14" s="184">
        <f>Але!D79</f>
        <v>0</v>
      </c>
      <c r="EP14" s="184" t="e">
        <f t="shared" ref="EP14:EP29" si="11">EO14/EN14*100</f>
        <v>#DIV/0!</v>
      </c>
      <c r="EQ14" s="185">
        <f>Але!C84</f>
        <v>4</v>
      </c>
      <c r="ER14" s="185">
        <f>Але!D84</f>
        <v>0</v>
      </c>
      <c r="ES14" s="184">
        <f>ER14/EQ14*100</f>
        <v>0</v>
      </c>
      <c r="ET14" s="184">
        <f>Але!C90</f>
        <v>0</v>
      </c>
      <c r="EU14" s="184">
        <f>Але!D90</f>
        <v>0</v>
      </c>
      <c r="EV14" s="184" t="e">
        <f>EU14/ET14*100</f>
        <v>#DIV/0!</v>
      </c>
      <c r="EW14" s="191">
        <f t="shared" ref="EW14:EW29" si="12">SUM(C14-DG14)</f>
        <v>-213.83624000000009</v>
      </c>
      <c r="EX14" s="191">
        <f t="shared" ref="EX14:EX29" si="13">SUM(D14-DH14)</f>
        <v>267.78738999999996</v>
      </c>
      <c r="EY14" s="184">
        <f>EX14/EW14*100%</f>
        <v>-1.2523012469729164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458">
        <f t="shared" ref="C15:C29" si="14">F15+BZ15</f>
        <v>12055.44839</v>
      </c>
      <c r="D15" s="444">
        <f>G15+CA15+CY15</f>
        <v>2020.07359</v>
      </c>
      <c r="E15" s="187">
        <f t="shared" si="1"/>
        <v>16.756519746504427</v>
      </c>
      <c r="F15" s="185">
        <f t="shared" si="2"/>
        <v>3735.44</v>
      </c>
      <c r="G15" s="185">
        <f>J15+Y15+AB15+AE15+AH15+AN15+AT15+BF15+AK15+BR15+BO15+AZ15+M15+S15+P15+V15+AQ15</f>
        <v>559.24258999999995</v>
      </c>
      <c r="H15" s="187">
        <f t="shared" ref="H15:H29" si="15">G15/F15*100</f>
        <v>14.971264161651638</v>
      </c>
      <c r="I15" s="195">
        <f>Сун!C6</f>
        <v>443.71499999999997</v>
      </c>
      <c r="J15" s="188">
        <f>Сун!D6</f>
        <v>88.660749999999993</v>
      </c>
      <c r="K15" s="187">
        <f t="shared" ref="K15:K29" si="16">J15/I15*100</f>
        <v>19.981463326684921</v>
      </c>
      <c r="L15" s="187">
        <f>Сун!C8</f>
        <v>237.12</v>
      </c>
      <c r="M15" s="187">
        <f>Сун!D8</f>
        <v>81.955730000000003</v>
      </c>
      <c r="N15" s="184">
        <f t="shared" ref="N15:N29" si="17">M15/L15*100</f>
        <v>34.562976551956815</v>
      </c>
      <c r="O15" s="184">
        <f>Сун!C9</f>
        <v>2.5049999999999999</v>
      </c>
      <c r="P15" s="184">
        <f>Сун!D9</f>
        <v>0.57262999999999997</v>
      </c>
      <c r="Q15" s="184">
        <f t="shared" ref="Q15:Q29" si="18">P15/O15*100</f>
        <v>22.859481037924152</v>
      </c>
      <c r="R15" s="184">
        <f>Сун!C10</f>
        <v>396.1</v>
      </c>
      <c r="S15" s="184">
        <f>Сун!D10</f>
        <v>120.16401</v>
      </c>
      <c r="T15" s="184">
        <f t="shared" ref="T15:T29" si="19">S15/R15*100</f>
        <v>30.336786165109821</v>
      </c>
      <c r="U15" s="184">
        <f>Сун!C11</f>
        <v>0</v>
      </c>
      <c r="V15" s="395">
        <f>Сун!D11</f>
        <v>-16.12951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24.728909999999999</v>
      </c>
      <c r="Z15" s="187">
        <f t="shared" ref="Z15:Z29" si="21">Y15/X15*100</f>
        <v>61.822274999999991</v>
      </c>
      <c r="AA15" s="195">
        <f>Сун!C15</f>
        <v>1098</v>
      </c>
      <c r="AB15" s="394">
        <f>Сун!D15</f>
        <v>9.1833299999999998</v>
      </c>
      <c r="AC15" s="187">
        <f t="shared" ref="AC15:AC29" si="22">AB15/AA15*100</f>
        <v>0.83636885245901638</v>
      </c>
      <c r="AD15" s="195">
        <f>Сун!C16</f>
        <v>1285</v>
      </c>
      <c r="AE15" s="195">
        <f>Сун!D16</f>
        <v>115.94589000000001</v>
      </c>
      <c r="AF15" s="187">
        <f t="shared" si="4"/>
        <v>9.0230264591439688</v>
      </c>
      <c r="AG15" s="187">
        <f>Сун!C18</f>
        <v>13</v>
      </c>
      <c r="AH15" s="187">
        <f>Сун!D18</f>
        <v>0.69</v>
      </c>
      <c r="AI15" s="187">
        <f t="shared" ref="AI15:AI31" si="23">AH15/AG15*100</f>
        <v>5.3076923076923066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433">
        <f>Сун!D28</f>
        <v>0</v>
      </c>
      <c r="AR15" s="187">
        <f t="shared" ref="AR15:AR29" si="24">AQ15/AP15*100</f>
        <v>0</v>
      </c>
      <c r="AS15" s="188">
        <f>Сун!C29</f>
        <v>20</v>
      </c>
      <c r="AT15" s="393">
        <f>Сун!D29</f>
        <v>39.911000000000001</v>
      </c>
      <c r="AU15" s="187">
        <f t="shared" ref="AU15:AU29" si="25">AT15/AS15*100</f>
        <v>199.55500000000001</v>
      </c>
      <c r="AV15" s="195"/>
      <c r="AW15" s="195"/>
      <c r="AX15" s="187" t="e">
        <f t="shared" ref="AX15:AX29" si="26">AW15/AV15*100</f>
        <v>#DIV/0!</v>
      </c>
      <c r="AY15" s="187">
        <f>Сун!C31</f>
        <v>0</v>
      </c>
      <c r="AZ15" s="467">
        <f>Сун!D31</f>
        <v>93.559849999999997</v>
      </c>
      <c r="BA15" s="187" t="e">
        <f t="shared" ref="BA15:BA31" si="27">AZ15/AY15*100</f>
        <v>#DIV/0!</v>
      </c>
      <c r="BB15" s="187"/>
      <c r="BC15" s="187"/>
      <c r="BD15" s="187"/>
      <c r="BE15" s="187">
        <f>Сун!C32</f>
        <v>0</v>
      </c>
      <c r="BF15" s="187">
        <f>Сун!D32</f>
        <v>0</v>
      </c>
      <c r="BG15" s="187" t="e">
        <f t="shared" ref="BG15:BG31" si="28">BF15/BE15*100</f>
        <v>#DIV/0!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6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8320.0083899999991</v>
      </c>
      <c r="CA15" s="186">
        <f t="shared" ref="CA15:CA29" si="35">CD15+CG15+CJ15+CM15+CS15+CP15+CV15</f>
        <v>1460.8310000000001</v>
      </c>
      <c r="CB15" s="187">
        <f>CA15/BZ15*100</f>
        <v>17.558047198075005</v>
      </c>
      <c r="CC15" s="187">
        <f>Сун!C42</f>
        <v>3003</v>
      </c>
      <c r="CD15" s="187">
        <f>Сун!D42</f>
        <v>750.6</v>
      </c>
      <c r="CE15" s="187">
        <f t="shared" ref="CE15:CE29" si="36">CD15/CC15*100</f>
        <v>24.995004995004997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6">
        <f>Сун!C44</f>
        <v>4805.0308999999997</v>
      </c>
      <c r="CJ15" s="187">
        <f>Сун!D44</f>
        <v>336.74200000000002</v>
      </c>
      <c r="CK15" s="187">
        <f t="shared" si="7"/>
        <v>7.0081131007919222</v>
      </c>
      <c r="CL15" s="187">
        <f>Сун!C46</f>
        <v>183.01900000000001</v>
      </c>
      <c r="CM15" s="187">
        <f>Сун!D46</f>
        <v>44.499000000000002</v>
      </c>
      <c r="CN15" s="187">
        <f t="shared" si="8"/>
        <v>24.313869051847075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401">
        <f>Сун!C48</f>
        <v>328.95848999999998</v>
      </c>
      <c r="CS15" s="187">
        <f>Сун!D48</f>
        <v>328.99</v>
      </c>
      <c r="CT15" s="187">
        <f t="shared" si="9"/>
        <v>100.00957871614744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88">
        <f>DJ15+DY15+EB15+EE15+EH15+EK15+EN15+EQ15+ET15</f>
        <v>13260.593069999999</v>
      </c>
      <c r="DH15" s="188">
        <f t="shared" ref="DG15:DH29" si="39">DK15+DZ15+EC15+EF15+EI15+EL15+EO15+ER15+EU15</f>
        <v>1708.5753199999997</v>
      </c>
      <c r="DI15" s="187">
        <f t="shared" ref="DI15:DI29" si="40">DH15/DG15*100</f>
        <v>12.884607128661402</v>
      </c>
      <c r="DJ15" s="195">
        <f>DM15+DP15+DS15+DV15</f>
        <v>1757.5429999999999</v>
      </c>
      <c r="DK15" s="195">
        <f t="shared" ref="DJ15:DK29" si="41">DN15+DQ15+DT15+DW15</f>
        <v>297.60969999999998</v>
      </c>
      <c r="DL15" s="187">
        <f t="shared" ref="DL15:DL29" si="42">DK15/DJ15*100</f>
        <v>16.933281290984063</v>
      </c>
      <c r="DM15" s="187">
        <f>Сун!C59</f>
        <v>1746.6</v>
      </c>
      <c r="DN15" s="187">
        <f>Сун!D59</f>
        <v>291.66719999999998</v>
      </c>
      <c r="DO15" s="187">
        <f t="shared" ref="DO15:DO29" si="43">DN15/DM15*100</f>
        <v>16.699141188594986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5.9429999999999996</v>
      </c>
      <c r="DW15" s="187">
        <f>Сун!D64</f>
        <v>5.9424999999999999</v>
      </c>
      <c r="DX15" s="187">
        <f t="shared" ref="DX15:DX29" si="46">DW15/DV15*100</f>
        <v>99.991586740703355</v>
      </c>
      <c r="DY15" s="187">
        <f>Сун!C66</f>
        <v>179.892</v>
      </c>
      <c r="DZ15" s="187">
        <f>Сун!D66</f>
        <v>31.40155</v>
      </c>
      <c r="EA15" s="187">
        <f t="shared" ref="EA15:EA31" si="47">DZ15/DY15*100</f>
        <v>17.455779022969338</v>
      </c>
      <c r="EB15" s="187">
        <f>Сун!C67</f>
        <v>6</v>
      </c>
      <c r="EC15" s="187">
        <f>Сун!D67</f>
        <v>0</v>
      </c>
      <c r="ED15" s="187">
        <f t="shared" ref="ED15:ED31" si="48">EC15/EB15*100</f>
        <v>0</v>
      </c>
      <c r="EE15" s="195">
        <f>Сун!C73</f>
        <v>4771.1170399999992</v>
      </c>
      <c r="EF15" s="195">
        <f>Сун!D73</f>
        <v>595.70920999999998</v>
      </c>
      <c r="EG15" s="187">
        <f t="shared" ref="EG15:EG29" si="49">EF15/EE15*100</f>
        <v>12.485738769468545</v>
      </c>
      <c r="EH15" s="195">
        <f>Сун!C78</f>
        <v>3538.8530300000002</v>
      </c>
      <c r="EI15" s="195">
        <f>Сун!D78</f>
        <v>123.14801</v>
      </c>
      <c r="EJ15" s="187">
        <f t="shared" ref="EJ15:EJ29" si="50">EI15/EH15*100</f>
        <v>3.4798848371501876</v>
      </c>
      <c r="EK15" s="195">
        <f>Сун!C83</f>
        <v>2987.1880000000001</v>
      </c>
      <c r="EL15" s="197">
        <f>Сун!D83</f>
        <v>651.61685</v>
      </c>
      <c r="EM15" s="187">
        <f t="shared" si="10"/>
        <v>21.813720796950175</v>
      </c>
      <c r="EN15" s="187">
        <f>Сун!C86</f>
        <v>0</v>
      </c>
      <c r="EO15" s="187">
        <f>Сун!D86</f>
        <v>0</v>
      </c>
      <c r="EP15" s="187" t="e">
        <f t="shared" si="11"/>
        <v>#DIV/0!</v>
      </c>
      <c r="EQ15" s="198">
        <f>Сун!C91</f>
        <v>20</v>
      </c>
      <c r="ER15" s="198">
        <f>Сун!D91</f>
        <v>9.09</v>
      </c>
      <c r="ES15" s="187">
        <f t="shared" ref="ES15:ES29" si="51">ER15/EQ15*100</f>
        <v>45.45</v>
      </c>
      <c r="ET15" s="187">
        <f>Сун!C97</f>
        <v>0</v>
      </c>
      <c r="EU15" s="187">
        <f>Сун!D97</f>
        <v>0</v>
      </c>
      <c r="EV15" s="184" t="e">
        <f>EU15/ET15*100</f>
        <v>#DIV/0!</v>
      </c>
      <c r="EW15" s="191">
        <f t="shared" si="12"/>
        <v>-1205.1446799999994</v>
      </c>
      <c r="EX15" s="191">
        <f t="shared" si="13"/>
        <v>311.49827000000028</v>
      </c>
      <c r="EY15" s="184">
        <f>EX15/EW15*100%</f>
        <v>-0.25847375437113529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59">
        <f t="shared" si="14"/>
        <v>9079.2287100000012</v>
      </c>
      <c r="D16" s="444">
        <f t="shared" si="0"/>
        <v>781.13032999999996</v>
      </c>
      <c r="E16" s="187">
        <f t="shared" si="1"/>
        <v>8.6034877515493253</v>
      </c>
      <c r="F16" s="185">
        <f t="shared" si="2"/>
        <v>1991.4749999999999</v>
      </c>
      <c r="G16" s="185">
        <f t="shared" si="3"/>
        <v>266.85532999999998</v>
      </c>
      <c r="H16" s="187">
        <f t="shared" si="15"/>
        <v>13.399883503433385</v>
      </c>
      <c r="I16" s="290">
        <f>Иль!C6</f>
        <v>100.23</v>
      </c>
      <c r="J16" s="291">
        <f>Иль!D6</f>
        <v>12.36163</v>
      </c>
      <c r="K16" s="187">
        <f t="shared" si="16"/>
        <v>12.333263493963882</v>
      </c>
      <c r="L16" s="187">
        <f>Иль!C8</f>
        <v>224.26</v>
      </c>
      <c r="M16" s="187">
        <f>Иль!D8</f>
        <v>77.510679999999994</v>
      </c>
      <c r="N16" s="184">
        <f t="shared" si="17"/>
        <v>34.56286453223936</v>
      </c>
      <c r="O16" s="184">
        <f>Иль!C9</f>
        <v>2.4049999999999998</v>
      </c>
      <c r="P16" s="184">
        <f>Иль!D9</f>
        <v>0.54157</v>
      </c>
      <c r="Q16" s="184">
        <f t="shared" si="18"/>
        <v>22.518503118503119</v>
      </c>
      <c r="R16" s="184">
        <f>Иль!C10</f>
        <v>374.58</v>
      </c>
      <c r="S16" s="184">
        <f>Иль!D10</f>
        <v>113.64664</v>
      </c>
      <c r="T16" s="184">
        <f t="shared" si="19"/>
        <v>30.339751187997226</v>
      </c>
      <c r="U16" s="184">
        <f>Иль!C11</f>
        <v>0</v>
      </c>
      <c r="V16" s="395">
        <f>Иль!D11</f>
        <v>-15.2547</v>
      </c>
      <c r="W16" s="184" t="e">
        <f t="shared" si="20"/>
        <v>#DIV/0!</v>
      </c>
      <c r="X16" s="195">
        <f>Иль!C13</f>
        <v>7</v>
      </c>
      <c r="Y16" s="195">
        <f>Иль!D13</f>
        <v>0.12393</v>
      </c>
      <c r="Z16" s="187">
        <f t="shared" si="21"/>
        <v>1.7704285714285715</v>
      </c>
      <c r="AA16" s="195">
        <f>Иль!C15</f>
        <v>248</v>
      </c>
      <c r="AB16" s="394">
        <f>Иль!D15</f>
        <v>6.6738999999999997</v>
      </c>
      <c r="AC16" s="187">
        <f t="shared" si="22"/>
        <v>2.6910887096774192</v>
      </c>
      <c r="AD16" s="195">
        <f>Иль!C16</f>
        <v>810</v>
      </c>
      <c r="AE16" s="195">
        <f>Иль!D16</f>
        <v>39.472299999999997</v>
      </c>
      <c r="AF16" s="187">
        <f t="shared" si="4"/>
        <v>4.8731234567901227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200</v>
      </c>
      <c r="AQ16" s="433">
        <f>Иль!D28</f>
        <v>3.05</v>
      </c>
      <c r="AR16" s="187">
        <f t="shared" si="24"/>
        <v>1.5249999999999999</v>
      </c>
      <c r="AS16" s="188">
        <f>Иль!C29</f>
        <v>20</v>
      </c>
      <c r="AT16" s="393">
        <f>Иль!D29</f>
        <v>18.690449999999998</v>
      </c>
      <c r="AU16" s="187">
        <f t="shared" si="25"/>
        <v>93.452249999999992</v>
      </c>
      <c r="AV16" s="195"/>
      <c r="AW16" s="195"/>
      <c r="AX16" s="187" t="e">
        <f t="shared" si="26"/>
        <v>#DIV/0!</v>
      </c>
      <c r="AY16" s="187">
        <f>Иль!C30</f>
        <v>0</v>
      </c>
      <c r="AZ16" s="226">
        <f>Иль!D30</f>
        <v>10.038930000000001</v>
      </c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6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7087.7537100000009</v>
      </c>
      <c r="CA16" s="186">
        <f t="shared" si="35"/>
        <v>514.27499999999998</v>
      </c>
      <c r="CB16" s="187">
        <f>CA16/BZ16*100</f>
        <v>7.2558249205868632</v>
      </c>
      <c r="CC16" s="187">
        <f>Иль!C42</f>
        <v>1759.1</v>
      </c>
      <c r="CD16" s="187">
        <f>Иль!D42</f>
        <v>439.77600000000001</v>
      </c>
      <c r="CE16" s="187">
        <f t="shared" si="36"/>
        <v>25.00005684725144</v>
      </c>
      <c r="CF16" s="187">
        <f>Иль!C43</f>
        <v>270</v>
      </c>
      <c r="CG16" s="187">
        <f>Иль!D43</f>
        <v>30</v>
      </c>
      <c r="CH16" s="187">
        <f t="shared" si="37"/>
        <v>11.111111111111111</v>
      </c>
      <c r="CI16" s="184">
        <f>Иль!C44</f>
        <v>3964.4985700000002</v>
      </c>
      <c r="CJ16" s="187">
        <f>Иль!D44</f>
        <v>0</v>
      </c>
      <c r="CK16" s="187">
        <f t="shared" si="7"/>
        <v>0</v>
      </c>
      <c r="CL16" s="187">
        <f>Иль!C46</f>
        <v>181.08199999999999</v>
      </c>
      <c r="CM16" s="187">
        <f>Иль!D46</f>
        <v>44.499000000000002</v>
      </c>
      <c r="CN16" s="187">
        <f t="shared" si="8"/>
        <v>24.573949923239198</v>
      </c>
      <c r="CO16" s="187">
        <f>Иль!C47</f>
        <v>641.37527999999998</v>
      </c>
      <c r="CP16" s="187">
        <f>Иль!D47</f>
        <v>0</v>
      </c>
      <c r="CQ16" s="187"/>
      <c r="CR16" s="401">
        <f>Иль!C51</f>
        <v>271.69785999999999</v>
      </c>
      <c r="CS16" s="187">
        <f>Иль!D51</f>
        <v>0</v>
      </c>
      <c r="CT16" s="187">
        <f t="shared" si="9"/>
        <v>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88">
        <f t="shared" si="39"/>
        <v>9593.1608899999992</v>
      </c>
      <c r="DH16" s="188">
        <f t="shared" si="39"/>
        <v>880.53782000000001</v>
      </c>
      <c r="DI16" s="187">
        <f t="shared" si="40"/>
        <v>9.1788080080871044</v>
      </c>
      <c r="DJ16" s="195">
        <f t="shared" si="41"/>
        <v>1256.1510000000001</v>
      </c>
      <c r="DK16" s="195">
        <f t="shared" si="41"/>
        <v>208.24357000000001</v>
      </c>
      <c r="DL16" s="187">
        <f t="shared" si="42"/>
        <v>16.577909025268458</v>
      </c>
      <c r="DM16" s="187">
        <f>Иль!C59</f>
        <v>1247.4000000000001</v>
      </c>
      <c r="DN16" s="187">
        <f>Иль!D59</f>
        <v>204.49257</v>
      </c>
      <c r="DO16" s="187">
        <f t="shared" si="43"/>
        <v>16.393504088504088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3.7509999999999999</v>
      </c>
      <c r="DW16" s="187">
        <f>Иль!D64</f>
        <v>3.7509999999999999</v>
      </c>
      <c r="DX16" s="187">
        <f t="shared" si="46"/>
        <v>100</v>
      </c>
      <c r="DY16" s="187">
        <f>Иль!C66</f>
        <v>179.892</v>
      </c>
      <c r="DZ16" s="187">
        <f>Иль!D66</f>
        <v>33.378</v>
      </c>
      <c r="EA16" s="187">
        <f t="shared" si="47"/>
        <v>18.554466012941099</v>
      </c>
      <c r="EB16" s="187">
        <f>Иль!C67</f>
        <v>6</v>
      </c>
      <c r="EC16" s="187">
        <f>Иль!D67</f>
        <v>0</v>
      </c>
      <c r="ED16" s="187">
        <f t="shared" si="48"/>
        <v>0</v>
      </c>
      <c r="EE16" s="195">
        <f>Иль!C73</f>
        <v>5933.4492899999996</v>
      </c>
      <c r="EF16" s="195">
        <f>Иль!D73</f>
        <v>30</v>
      </c>
      <c r="EG16" s="187">
        <f t="shared" si="49"/>
        <v>0.5056080962984012</v>
      </c>
      <c r="EH16" s="195">
        <f>Иль!C80</f>
        <v>368.5686</v>
      </c>
      <c r="EI16" s="195">
        <f>Иль!D80</f>
        <v>115.47093</v>
      </c>
      <c r="EJ16" s="187">
        <f t="shared" si="50"/>
        <v>31.329562529200807</v>
      </c>
      <c r="EK16" s="195">
        <f>Иль!C84</f>
        <v>1847.1</v>
      </c>
      <c r="EL16" s="197">
        <f>Иль!D84</f>
        <v>493.44531999999998</v>
      </c>
      <c r="EM16" s="187">
        <f t="shared" si="10"/>
        <v>26.714596935737099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2</v>
      </c>
      <c r="ER16" s="198">
        <f>Иль!D91</f>
        <v>0</v>
      </c>
      <c r="ES16" s="187">
        <f t="shared" si="51"/>
        <v>0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-513.93217999999797</v>
      </c>
      <c r="EX16" s="191">
        <f t="shared" si="13"/>
        <v>-99.407490000000053</v>
      </c>
      <c r="EY16" s="184">
        <f>EX16/EW16*100</f>
        <v>19.342530759603427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59">
        <f t="shared" si="14"/>
        <v>8679.4805799999995</v>
      </c>
      <c r="D17" s="444">
        <f t="shared" si="0"/>
        <v>1211.4190100000001</v>
      </c>
      <c r="E17" s="187">
        <f t="shared" si="1"/>
        <v>13.957275424884932</v>
      </c>
      <c r="F17" s="185">
        <f t="shared" si="2"/>
        <v>4420.4909999999991</v>
      </c>
      <c r="G17" s="185">
        <f t="shared" si="3"/>
        <v>628.47200999999995</v>
      </c>
      <c r="H17" s="187">
        <f t="shared" si="15"/>
        <v>14.217244419228544</v>
      </c>
      <c r="I17" s="195">
        <f>Кад!C6</f>
        <v>452.03100000000001</v>
      </c>
      <c r="J17" s="188">
        <f>Кад!D6</f>
        <v>90.983590000000007</v>
      </c>
      <c r="K17" s="187">
        <f t="shared" si="16"/>
        <v>20.127732390035195</v>
      </c>
      <c r="L17" s="187">
        <f>Кад!C8</f>
        <v>266.87</v>
      </c>
      <c r="M17" s="187">
        <f>Кад!D8</f>
        <v>92.234920000000002</v>
      </c>
      <c r="N17" s="184">
        <f t="shared" si="17"/>
        <v>34.56174167197512</v>
      </c>
      <c r="O17" s="184">
        <f>Кад!C9</f>
        <v>2.86</v>
      </c>
      <c r="P17" s="184">
        <f>Кад!D9</f>
        <v>0.64444999999999997</v>
      </c>
      <c r="Q17" s="184">
        <f t="shared" si="18"/>
        <v>22.533216783216783</v>
      </c>
      <c r="R17" s="184">
        <f>Кад!C10</f>
        <v>445.73</v>
      </c>
      <c r="S17" s="184">
        <f>Кад!D10</f>
        <v>135.23543000000001</v>
      </c>
      <c r="T17" s="184">
        <f t="shared" si="19"/>
        <v>30.340212684809192</v>
      </c>
      <c r="U17" s="184">
        <f>Кад!C11</f>
        <v>0</v>
      </c>
      <c r="V17" s="395">
        <f>Кад!D11</f>
        <v>-18.152529999999999</v>
      </c>
      <c r="W17" s="184" t="e">
        <f t="shared" si="20"/>
        <v>#DIV/0!</v>
      </c>
      <c r="X17" s="195">
        <f>Кад!C13</f>
        <v>50</v>
      </c>
      <c r="Y17" s="195">
        <f>Кад!D13</f>
        <v>21.569400000000002</v>
      </c>
      <c r="Z17" s="187">
        <f t="shared" si="21"/>
        <v>43.138800000000003</v>
      </c>
      <c r="AA17" s="195">
        <f>Кад!C15</f>
        <v>338</v>
      </c>
      <c r="AB17" s="394">
        <f>Кад!D15</f>
        <v>29.144449999999999</v>
      </c>
      <c r="AC17" s="187">
        <f t="shared" si="22"/>
        <v>8.622618343195267</v>
      </c>
      <c r="AD17" s="195">
        <f>Кад!C16</f>
        <v>2800</v>
      </c>
      <c r="AE17" s="195">
        <f>Кад!D16</f>
        <v>209.09998999999999</v>
      </c>
      <c r="AF17" s="187">
        <f t="shared" si="4"/>
        <v>7.4678567857142859</v>
      </c>
      <c r="AG17" s="187">
        <f>Кад!C18</f>
        <v>25</v>
      </c>
      <c r="AH17" s="187">
        <f>Кад!D18</f>
        <v>6.8</v>
      </c>
      <c r="AI17" s="187">
        <f t="shared" si="23"/>
        <v>27.200000000000003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40</v>
      </c>
      <c r="AQ17" s="433">
        <f>Кад!D27</f>
        <v>47.358379999999997</v>
      </c>
      <c r="AR17" s="187">
        <f t="shared" si="24"/>
        <v>118.39594999999998</v>
      </c>
      <c r="AS17" s="188">
        <f>Кад!C28</f>
        <v>0</v>
      </c>
      <c r="AT17" s="393">
        <f>Кад!D28</f>
        <v>0</v>
      </c>
      <c r="AU17" s="187" t="e">
        <f t="shared" si="25"/>
        <v>#DIV/0!</v>
      </c>
      <c r="AV17" s="195"/>
      <c r="AW17" s="195"/>
      <c r="AX17" s="187" t="e">
        <f t="shared" si="26"/>
        <v>#DIV/0!</v>
      </c>
      <c r="AY17" s="187">
        <f>Кад!C30</f>
        <v>0</v>
      </c>
      <c r="AZ17" s="226">
        <f>Кад!D30</f>
        <v>13.553929999999999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6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0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4258.9895800000004</v>
      </c>
      <c r="CA17" s="186">
        <f t="shared" si="35"/>
        <v>582.947</v>
      </c>
      <c r="CB17" s="187">
        <f>CA17/BZ17*100</f>
        <v>13.687448373611657</v>
      </c>
      <c r="CC17" s="187">
        <f>Кад!C41</f>
        <v>1101.0999999999999</v>
      </c>
      <c r="CD17" s="187">
        <f>Кад!D41</f>
        <v>275.274</v>
      </c>
      <c r="CE17" s="187">
        <f t="shared" si="36"/>
        <v>24.999909181727364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2973.0091900000002</v>
      </c>
      <c r="CJ17" s="187">
        <f>Кад!D43</f>
        <v>263.17399999999998</v>
      </c>
      <c r="CK17" s="187">
        <f t="shared" si="7"/>
        <v>8.852108526445555</v>
      </c>
      <c r="CL17" s="187">
        <f>Кад!C45</f>
        <v>182.38900000000001</v>
      </c>
      <c r="CM17" s="187">
        <f>Кад!D45</f>
        <v>44.499000000000002</v>
      </c>
      <c r="CN17" s="187">
        <f t="shared" si="8"/>
        <v>24.397852940692697</v>
      </c>
      <c r="CO17" s="187"/>
      <c r="CP17" s="187"/>
      <c r="CQ17" s="187"/>
      <c r="CR17" s="401">
        <f>Кад!C47</f>
        <v>2.49139</v>
      </c>
      <c r="CS17" s="187">
        <f>Кад!D47</f>
        <v>0</v>
      </c>
      <c r="CT17" s="187">
        <f t="shared" si="9"/>
        <v>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88">
        <f t="shared" si="39"/>
        <v>9585.8661300000003</v>
      </c>
      <c r="DH17" s="188">
        <f t="shared" si="39"/>
        <v>1761.1722500000001</v>
      </c>
      <c r="DI17" s="187">
        <f t="shared" si="40"/>
        <v>18.37259383884177</v>
      </c>
      <c r="DJ17" s="195">
        <f t="shared" si="41"/>
        <v>1642.1209999999999</v>
      </c>
      <c r="DK17" s="195">
        <f t="shared" si="41"/>
        <v>325.39657</v>
      </c>
      <c r="DL17" s="187">
        <f t="shared" si="42"/>
        <v>19.815626863063077</v>
      </c>
      <c r="DM17" s="187">
        <f>Кад!C57</f>
        <v>1582.0709999999999</v>
      </c>
      <c r="DN17" s="187">
        <f>Кад!D57</f>
        <v>270.34656999999999</v>
      </c>
      <c r="DO17" s="187">
        <f t="shared" si="43"/>
        <v>17.088143958140943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55.05</v>
      </c>
      <c r="DW17" s="187">
        <f>Кад!D62</f>
        <v>55.05</v>
      </c>
      <c r="DX17" s="187">
        <f t="shared" si="46"/>
        <v>100</v>
      </c>
      <c r="DY17" s="187">
        <f>Кад!C64</f>
        <v>179.892</v>
      </c>
      <c r="DZ17" s="187">
        <f>Кад!D64</f>
        <v>33.37312</v>
      </c>
      <c r="EA17" s="187">
        <f t="shared" si="47"/>
        <v>18.551753274186737</v>
      </c>
      <c r="EB17" s="187">
        <f>Кад!C65</f>
        <v>6</v>
      </c>
      <c r="EC17" s="187">
        <f>Кад!D65</f>
        <v>0.6</v>
      </c>
      <c r="ED17" s="187">
        <f t="shared" si="48"/>
        <v>10</v>
      </c>
      <c r="EE17" s="195">
        <f>Кад!C71</f>
        <v>4631.5961299999999</v>
      </c>
      <c r="EF17" s="195">
        <f>Кад!D71</f>
        <v>550.04903000000002</v>
      </c>
      <c r="EG17" s="187">
        <f t="shared" si="49"/>
        <v>11.876014543608319</v>
      </c>
      <c r="EH17" s="195">
        <f>Кад!C76</f>
        <v>833.45699999999999</v>
      </c>
      <c r="EI17" s="195">
        <f>Кад!D76</f>
        <v>284.75353000000001</v>
      </c>
      <c r="EJ17" s="187">
        <f t="shared" si="50"/>
        <v>34.16535346154631</v>
      </c>
      <c r="EK17" s="195">
        <f>Кад!C80</f>
        <v>2291.8000000000002</v>
      </c>
      <c r="EL17" s="197">
        <f>Кад!D80</f>
        <v>567</v>
      </c>
      <c r="EM17" s="187">
        <f t="shared" si="10"/>
        <v>24.740378741600484</v>
      </c>
      <c r="EN17" s="187">
        <f>Кад!C82</f>
        <v>0</v>
      </c>
      <c r="EO17" s="187">
        <f>Кад!D82</f>
        <v>0</v>
      </c>
      <c r="EP17" s="187" t="e">
        <f t="shared" si="11"/>
        <v>#DIV/0!</v>
      </c>
      <c r="EQ17" s="198">
        <f>Кад!C87</f>
        <v>1</v>
      </c>
      <c r="ER17" s="198">
        <f>Кад!D87</f>
        <v>0</v>
      </c>
      <c r="ES17" s="187">
        <f t="shared" si="51"/>
        <v>0</v>
      </c>
      <c r="ET17" s="187">
        <f>Кад!C93</f>
        <v>0</v>
      </c>
      <c r="EU17" s="187">
        <f>Кад!D93</f>
        <v>0</v>
      </c>
      <c r="EV17" s="184" t="e">
        <f t="shared" si="52"/>
        <v>#DIV/0!</v>
      </c>
      <c r="EW17" s="191">
        <f t="shared" si="12"/>
        <v>-906.38555000000088</v>
      </c>
      <c r="EX17" s="191">
        <f t="shared" si="13"/>
        <v>-549.75324000000001</v>
      </c>
      <c r="EY17" s="184">
        <f>EX17/EW17*100</f>
        <v>60.653354414134199</v>
      </c>
      <c r="EZ17" s="192"/>
      <c r="FA17" s="193"/>
      <c r="FC17" s="193"/>
    </row>
    <row r="18" spans="1:170" s="233" customFormat="1" ht="15" customHeight="1">
      <c r="A18" s="224">
        <v>5</v>
      </c>
      <c r="B18" s="225" t="s">
        <v>308</v>
      </c>
      <c r="C18" s="460">
        <f t="shared" si="14"/>
        <v>18510.652040000001</v>
      </c>
      <c r="D18" s="445">
        <f t="shared" si="0"/>
        <v>2433.4218299999998</v>
      </c>
      <c r="E18" s="226">
        <f t="shared" si="1"/>
        <v>13.146062195656722</v>
      </c>
      <c r="F18" s="227">
        <f t="shared" si="2"/>
        <v>4744.2569999999996</v>
      </c>
      <c r="G18" s="227">
        <f t="shared" si="3"/>
        <v>836.16683</v>
      </c>
      <c r="H18" s="226">
        <f t="shared" si="15"/>
        <v>17.624821547399311</v>
      </c>
      <c r="I18" s="291">
        <f>Мор!C6</f>
        <v>1755.837</v>
      </c>
      <c r="J18" s="291">
        <f>Мор!D6</f>
        <v>413.20069000000001</v>
      </c>
      <c r="K18" s="226">
        <f t="shared" si="16"/>
        <v>23.53297544134222</v>
      </c>
      <c r="L18" s="226">
        <f>Мор!C8</f>
        <v>131.83000000000001</v>
      </c>
      <c r="M18" s="226">
        <f>Мор!D8</f>
        <v>45.56183</v>
      </c>
      <c r="N18" s="226">
        <f t="shared" si="17"/>
        <v>34.561048319805806</v>
      </c>
      <c r="O18" s="226">
        <f>Мор!C9</f>
        <v>1.41</v>
      </c>
      <c r="P18" s="226">
        <f>Мор!D9</f>
        <v>0.31835000000000002</v>
      </c>
      <c r="Q18" s="226">
        <f t="shared" si="18"/>
        <v>22.578014184397166</v>
      </c>
      <c r="R18" s="226">
        <f>Мор!C10</f>
        <v>220.18</v>
      </c>
      <c r="S18" s="226">
        <f>Мор!D10</f>
        <v>66.803039999999996</v>
      </c>
      <c r="T18" s="226">
        <f t="shared" si="19"/>
        <v>30.340194386411117</v>
      </c>
      <c r="U18" s="226">
        <f>Мор!C11</f>
        <v>0</v>
      </c>
      <c r="V18" s="396">
        <f>Мор!D11</f>
        <v>-8.96692</v>
      </c>
      <c r="W18" s="226" t="e">
        <f t="shared" si="20"/>
        <v>#DIV/0!</v>
      </c>
      <c r="X18" s="188">
        <f>Мор!C13</f>
        <v>75</v>
      </c>
      <c r="Y18" s="188">
        <f>Мор!D13</f>
        <v>40.386299999999999</v>
      </c>
      <c r="Z18" s="226">
        <f t="shared" si="21"/>
        <v>53.848399999999998</v>
      </c>
      <c r="AA18" s="188">
        <f>Мор!C15</f>
        <v>900</v>
      </c>
      <c r="AB18" s="394">
        <f>Мор!D15</f>
        <v>65.380229999999997</v>
      </c>
      <c r="AC18" s="226">
        <f t="shared" si="22"/>
        <v>7.2644699999999993</v>
      </c>
      <c r="AD18" s="188">
        <f>Мор!C16</f>
        <v>1660</v>
      </c>
      <c r="AE18" s="188">
        <f>Мор!D16</f>
        <v>213.48330999999999</v>
      </c>
      <c r="AF18" s="226">
        <f t="shared" si="4"/>
        <v>12.860440361445782</v>
      </c>
      <c r="AG18" s="226">
        <f>Мор!C18</f>
        <v>0</v>
      </c>
      <c r="AH18" s="226">
        <f>Мор!D18</f>
        <v>0</v>
      </c>
      <c r="AI18" s="226" t="e">
        <f t="shared" si="23"/>
        <v>#DIV/0!</v>
      </c>
      <c r="AJ18" s="226">
        <f>Мор!C22</f>
        <v>0</v>
      </c>
      <c r="AK18" s="226">
        <f>Мор!D22</f>
        <v>0</v>
      </c>
      <c r="AL18" s="226" t="e">
        <f t="shared" si="5"/>
        <v>#DIV/0!</v>
      </c>
      <c r="AM18" s="188">
        <v>0</v>
      </c>
      <c r="AN18" s="188"/>
      <c r="AO18" s="226" t="e">
        <f t="shared" si="6"/>
        <v>#DIV/0!</v>
      </c>
      <c r="AP18" s="188">
        <f>Мор!C27</f>
        <v>0</v>
      </c>
      <c r="AQ18" s="433">
        <f>Мор!D27</f>
        <v>0</v>
      </c>
      <c r="AR18" s="226" t="e">
        <f t="shared" si="24"/>
        <v>#DIV/0!</v>
      </c>
      <c r="AS18" s="188">
        <f>Мор!C28</f>
        <v>0</v>
      </c>
      <c r="AT18" s="394">
        <f>Мор!D28</f>
        <v>0</v>
      </c>
      <c r="AU18" s="226" t="e">
        <f t="shared" si="25"/>
        <v>#DIV/0!</v>
      </c>
      <c r="AV18" s="188"/>
      <c r="AW18" s="188"/>
      <c r="AX18" s="226" t="e">
        <f t="shared" si="26"/>
        <v>#DIV/0!</v>
      </c>
      <c r="AY18" s="226">
        <f>Мор!C29</f>
        <v>0</v>
      </c>
      <c r="AZ18" s="226">
        <f>Мор!D29</f>
        <v>0</v>
      </c>
      <c r="BA18" s="226" t="e">
        <f t="shared" si="27"/>
        <v>#DIV/0!</v>
      </c>
      <c r="BB18" s="226"/>
      <c r="BC18" s="226"/>
      <c r="BD18" s="226"/>
      <c r="BE18" s="226">
        <f>Мор!C33</f>
        <v>0</v>
      </c>
      <c r="BF18" s="226">
        <f>Мор!D33</f>
        <v>0</v>
      </c>
      <c r="BG18" s="226" t="e">
        <f>Мор!E33</f>
        <v>#DIV/0!</v>
      </c>
      <c r="BH18" s="226">
        <f>Мор!F33</f>
        <v>0</v>
      </c>
      <c r="BI18" s="226">
        <f>Мор!G33</f>
        <v>0</v>
      </c>
      <c r="BJ18" s="226">
        <f>Мор!H33</f>
        <v>0</v>
      </c>
      <c r="BK18" s="226">
        <f>Мор!I33</f>
        <v>0</v>
      </c>
      <c r="BL18" s="226">
        <f>Мор!J33</f>
        <v>0</v>
      </c>
      <c r="BM18" s="226">
        <f>Мор!K33</f>
        <v>0</v>
      </c>
      <c r="BN18" s="226">
        <f>Мор!C35</f>
        <v>0</v>
      </c>
      <c r="BO18" s="357">
        <f>Мор!D34</f>
        <v>0</v>
      </c>
      <c r="BP18" s="226" t="e">
        <f t="shared" si="30"/>
        <v>#DIV/0!</v>
      </c>
      <c r="BQ18" s="226">
        <f>Мор!C36</f>
        <v>0</v>
      </c>
      <c r="BR18" s="226">
        <f>Мор!D36</f>
        <v>0</v>
      </c>
      <c r="BS18" s="226" t="e">
        <f t="shared" si="31"/>
        <v>#DIV/0!</v>
      </c>
      <c r="BT18" s="226"/>
      <c r="BU18" s="226"/>
      <c r="BV18" s="228" t="e">
        <f t="shared" si="32"/>
        <v>#DIV/0!</v>
      </c>
      <c r="BW18" s="228"/>
      <c r="BX18" s="228"/>
      <c r="BY18" s="228" t="e">
        <f t="shared" si="33"/>
        <v>#DIV/0!</v>
      </c>
      <c r="BZ18" s="188">
        <f t="shared" si="34"/>
        <v>13766.395040000001</v>
      </c>
      <c r="CA18" s="186">
        <f t="shared" si="35"/>
        <v>1597.2549999999999</v>
      </c>
      <c r="CB18" s="226">
        <f t="shared" ref="CB18:CB31" si="53">CA18/BZ18*100</f>
        <v>11.602565489069386</v>
      </c>
      <c r="CC18" s="226">
        <f>Мор!C41</f>
        <v>4687.5</v>
      </c>
      <c r="CD18" s="226">
        <f>Мор!D41</f>
        <v>1171.875</v>
      </c>
      <c r="CE18" s="226">
        <f t="shared" si="36"/>
        <v>25</v>
      </c>
      <c r="CF18" s="226">
        <f>Мор!C42</f>
        <v>0</v>
      </c>
      <c r="CG18" s="226">
        <f>Мор!D42</f>
        <v>0</v>
      </c>
      <c r="CH18" s="226" t="e">
        <f t="shared" si="37"/>
        <v>#DIV/0!</v>
      </c>
      <c r="CI18" s="226">
        <f>Мор!C43</f>
        <v>8600.4907500000008</v>
      </c>
      <c r="CJ18" s="226">
        <f>Мор!D43</f>
        <v>291.52999999999997</v>
      </c>
      <c r="CK18" s="226">
        <f t="shared" si="7"/>
        <v>3.3896902918010805</v>
      </c>
      <c r="CL18" s="226">
        <f>Мор!C45</f>
        <v>9.2170000000000005</v>
      </c>
      <c r="CM18" s="226">
        <f>Мор!D45</f>
        <v>0</v>
      </c>
      <c r="CN18" s="226">
        <f t="shared" si="8"/>
        <v>0</v>
      </c>
      <c r="CO18" s="226">
        <f>Мор!C46</f>
        <v>0</v>
      </c>
      <c r="CP18" s="226">
        <f>Мор!D46</f>
        <v>0</v>
      </c>
      <c r="CQ18" s="226" t="e">
        <f>CP18/CO18*100</f>
        <v>#DIV/0!</v>
      </c>
      <c r="CR18" s="396">
        <f>Мор!C48</f>
        <v>469.18729000000002</v>
      </c>
      <c r="CS18" s="226">
        <f>Мор!D48</f>
        <v>133.85</v>
      </c>
      <c r="CT18" s="226">
        <f t="shared" si="9"/>
        <v>28.528053264187953</v>
      </c>
      <c r="CU18" s="226"/>
      <c r="CV18" s="226"/>
      <c r="CW18" s="226"/>
      <c r="CX18" s="188"/>
      <c r="CY18" s="188"/>
      <c r="CZ18" s="226" t="e">
        <f t="shared" si="38"/>
        <v>#DIV/0!</v>
      </c>
      <c r="DA18" s="226"/>
      <c r="DB18" s="226"/>
      <c r="DC18" s="226"/>
      <c r="DD18" s="226"/>
      <c r="DE18" s="226"/>
      <c r="DF18" s="226"/>
      <c r="DG18" s="188">
        <f t="shared" si="39"/>
        <v>19065.462599999999</v>
      </c>
      <c r="DH18" s="188">
        <f t="shared" si="39"/>
        <v>2557.1827499999999</v>
      </c>
      <c r="DI18" s="226">
        <f t="shared" si="40"/>
        <v>13.412644653059717</v>
      </c>
      <c r="DJ18" s="188">
        <f t="shared" si="41"/>
        <v>1884.018</v>
      </c>
      <c r="DK18" s="188">
        <f t="shared" si="41"/>
        <v>504.63949000000002</v>
      </c>
      <c r="DL18" s="226">
        <f t="shared" si="42"/>
        <v>26.785279652317545</v>
      </c>
      <c r="DM18" s="226">
        <f>Мор!C58</f>
        <v>1705.1</v>
      </c>
      <c r="DN18" s="226">
        <f>Мор!D58</f>
        <v>364.71341999999999</v>
      </c>
      <c r="DO18" s="226">
        <f t="shared" si="43"/>
        <v>21.389561902527713</v>
      </c>
      <c r="DP18" s="226">
        <f>Мор!C61</f>
        <v>0</v>
      </c>
      <c r="DQ18" s="226">
        <f>Мор!D61</f>
        <v>0</v>
      </c>
      <c r="DR18" s="226" t="e">
        <f t="shared" si="44"/>
        <v>#DIV/0!</v>
      </c>
      <c r="DS18" s="226">
        <f>Мор!C62</f>
        <v>5</v>
      </c>
      <c r="DT18" s="226">
        <f>Мор!D62</f>
        <v>0</v>
      </c>
      <c r="DU18" s="226">
        <f t="shared" si="45"/>
        <v>0</v>
      </c>
      <c r="DV18" s="226">
        <f>Мор!C63</f>
        <v>173.91800000000001</v>
      </c>
      <c r="DW18" s="226">
        <f>Мор!D63</f>
        <v>139.92607000000001</v>
      </c>
      <c r="DX18" s="226">
        <f t="shared" si="46"/>
        <v>80.455197276877612</v>
      </c>
      <c r="DY18" s="226">
        <f>Мор!C64</f>
        <v>0</v>
      </c>
      <c r="DZ18" s="226">
        <f>Мор!D64</f>
        <v>0</v>
      </c>
      <c r="EA18" s="226" t="e">
        <f t="shared" si="47"/>
        <v>#DIV/0!</v>
      </c>
      <c r="EB18" s="226">
        <f>Мор!C66</f>
        <v>6</v>
      </c>
      <c r="EC18" s="226">
        <f>Мор!D66</f>
        <v>0</v>
      </c>
      <c r="ED18" s="226">
        <f t="shared" si="48"/>
        <v>0</v>
      </c>
      <c r="EE18" s="188">
        <f>Мор!C72</f>
        <v>3403.7777000000001</v>
      </c>
      <c r="EF18" s="188">
        <f>Мор!D72</f>
        <v>548.54899999999998</v>
      </c>
      <c r="EG18" s="226">
        <f t="shared" si="49"/>
        <v>16.115887944150995</v>
      </c>
      <c r="EH18" s="188">
        <f>Мор!C77</f>
        <v>10031.6669</v>
      </c>
      <c r="EI18" s="188">
        <f>Мор!D77</f>
        <v>570.24426000000005</v>
      </c>
      <c r="EJ18" s="226">
        <f t="shared" si="50"/>
        <v>5.6844417352015553</v>
      </c>
      <c r="EK18" s="188">
        <f>Мор!C81</f>
        <v>3735</v>
      </c>
      <c r="EL18" s="229">
        <f>Мор!D81</f>
        <v>933.75</v>
      </c>
      <c r="EM18" s="226">
        <f t="shared" si="10"/>
        <v>25</v>
      </c>
      <c r="EN18" s="226">
        <f>Мор!C84</f>
        <v>0</v>
      </c>
      <c r="EO18" s="226">
        <f>Мор!D84</f>
        <v>0</v>
      </c>
      <c r="EP18" s="226" t="e">
        <f t="shared" si="11"/>
        <v>#DIV/0!</v>
      </c>
      <c r="EQ18" s="227">
        <f>Мор!C89</f>
        <v>5</v>
      </c>
      <c r="ER18" s="227">
        <f>Мор!D89</f>
        <v>0</v>
      </c>
      <c r="ES18" s="226">
        <f t="shared" si="51"/>
        <v>0</v>
      </c>
      <c r="ET18" s="226">
        <f>Мор!C95</f>
        <v>0</v>
      </c>
      <c r="EU18" s="226">
        <f>Мор!D95</f>
        <v>0</v>
      </c>
      <c r="EV18" s="226" t="e">
        <f t="shared" si="52"/>
        <v>#DIV/0!</v>
      </c>
      <c r="EW18" s="230">
        <f t="shared" si="12"/>
        <v>-554.81055999999808</v>
      </c>
      <c r="EX18" s="230">
        <f t="shared" si="13"/>
        <v>-123.76092000000017</v>
      </c>
      <c r="EY18" s="226">
        <f t="shared" ref="EY18:EY30" si="54">EX18/EW18*100</f>
        <v>22.306878946211945</v>
      </c>
      <c r="EZ18" s="231"/>
      <c r="FA18" s="232"/>
      <c r="FC18" s="232"/>
    </row>
    <row r="19" spans="1:170" s="405" customFormat="1" ht="15" customHeight="1">
      <c r="A19" s="400">
        <v>6</v>
      </c>
      <c r="B19" s="194" t="s">
        <v>309</v>
      </c>
      <c r="C19" s="459">
        <f t="shared" si="14"/>
        <v>10569.22371</v>
      </c>
      <c r="D19" s="444">
        <f t="shared" si="0"/>
        <v>885.9473999999999</v>
      </c>
      <c r="E19" s="187">
        <f t="shared" si="1"/>
        <v>8.3823317994657138</v>
      </c>
      <c r="F19" s="198">
        <f t="shared" si="2"/>
        <v>4741.1550000000007</v>
      </c>
      <c r="G19" s="198">
        <f t="shared" si="3"/>
        <v>753.53339999999992</v>
      </c>
      <c r="H19" s="187">
        <f t="shared" si="15"/>
        <v>15.893456341334545</v>
      </c>
      <c r="I19" s="195">
        <f>Мос!C6</f>
        <v>1300.26</v>
      </c>
      <c r="J19" s="188">
        <f>Мос!D6</f>
        <v>337.89508999999998</v>
      </c>
      <c r="K19" s="187">
        <f t="shared" si="16"/>
        <v>25.986732653469304</v>
      </c>
      <c r="L19" s="187">
        <f>Мос!C8</f>
        <v>248.38</v>
      </c>
      <c r="M19" s="187">
        <f>Мос!D8</f>
        <v>85.845150000000004</v>
      </c>
      <c r="N19" s="187">
        <f t="shared" si="17"/>
        <v>34.562021901924474</v>
      </c>
      <c r="O19" s="187">
        <f>Мос!C9</f>
        <v>2.665</v>
      </c>
      <c r="P19" s="187">
        <f>Мос!D9</f>
        <v>0.5998</v>
      </c>
      <c r="Q19" s="187">
        <f t="shared" si="18"/>
        <v>22.506566604127578</v>
      </c>
      <c r="R19" s="187">
        <f>Мос!C10</f>
        <v>414.85</v>
      </c>
      <c r="S19" s="187">
        <f>Мос!D10</f>
        <v>125.86671</v>
      </c>
      <c r="T19" s="187">
        <f t="shared" si="19"/>
        <v>30.340294082198383</v>
      </c>
      <c r="U19" s="187">
        <f>Мос!C11</f>
        <v>0</v>
      </c>
      <c r="V19" s="401">
        <f>Мос!D11</f>
        <v>-16.89499</v>
      </c>
      <c r="W19" s="187" t="e">
        <f t="shared" si="20"/>
        <v>#DIV/0!</v>
      </c>
      <c r="X19" s="195">
        <f>Мос!C13</f>
        <v>30</v>
      </c>
      <c r="Y19" s="195">
        <f>Мос!D13</f>
        <v>27.633299999999998</v>
      </c>
      <c r="Z19" s="187">
        <f t="shared" si="21"/>
        <v>92.111000000000004</v>
      </c>
      <c r="AA19" s="195">
        <f>Мос!C15</f>
        <v>495</v>
      </c>
      <c r="AB19" s="394">
        <f>Мос!D15</f>
        <v>6.9102199999999998</v>
      </c>
      <c r="AC19" s="187">
        <f t="shared" si="22"/>
        <v>1.3960040404040404</v>
      </c>
      <c r="AD19" s="195">
        <f>Мос!C16</f>
        <v>2240</v>
      </c>
      <c r="AE19" s="195">
        <f>Мос!D16</f>
        <v>167.86416</v>
      </c>
      <c r="AF19" s="187">
        <f t="shared" si="4"/>
        <v>7.4939357142857137</v>
      </c>
      <c r="AG19" s="187">
        <f>Мос!C18</f>
        <v>10</v>
      </c>
      <c r="AH19" s="187">
        <f>Мос!D18</f>
        <v>0.3</v>
      </c>
      <c r="AI19" s="187">
        <f t="shared" si="23"/>
        <v>3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433">
        <f>Мос!D27</f>
        <v>0</v>
      </c>
      <c r="AR19" s="187" t="e">
        <f t="shared" si="24"/>
        <v>#DIV/0!</v>
      </c>
      <c r="AS19" s="195">
        <f>Мос!C26</f>
        <v>0</v>
      </c>
      <c r="AT19" s="393">
        <f>Мос!D28</f>
        <v>0</v>
      </c>
      <c r="AU19" s="187" t="e">
        <f t="shared" si="25"/>
        <v>#DIV/0!</v>
      </c>
      <c r="AV19" s="195"/>
      <c r="AW19" s="195"/>
      <c r="AX19" s="187" t="e">
        <f t="shared" si="26"/>
        <v>#DIV/0!</v>
      </c>
      <c r="AY19" s="187">
        <f>Мос!C30</f>
        <v>0</v>
      </c>
      <c r="AZ19" s="226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6">
        <f>Мос!D35</f>
        <v>17.513960000000001</v>
      </c>
      <c r="BP19" s="187" t="e">
        <f t="shared" si="30"/>
        <v>#DIV/0!</v>
      </c>
      <c r="BQ19" s="187">
        <f>Мос!C36</f>
        <v>0</v>
      </c>
      <c r="BR19" s="187">
        <f>Мос!D36</f>
        <v>0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5828.0687099999996</v>
      </c>
      <c r="CA19" s="195">
        <f t="shared" si="35"/>
        <v>132.41400000000002</v>
      </c>
      <c r="CB19" s="187">
        <f t="shared" si="53"/>
        <v>2.2720047856127632</v>
      </c>
      <c r="CC19" s="187">
        <f>Мос!C41</f>
        <v>0</v>
      </c>
      <c r="CD19" s="187">
        <f>Мос!D41</f>
        <v>0</v>
      </c>
      <c r="CE19" s="187" t="e">
        <f>CD19/CC19*100</f>
        <v>#DIV/0!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7">
        <f>Мос!C43</f>
        <v>4758.9176399999997</v>
      </c>
      <c r="CJ19" s="187">
        <f>Мос!D43</f>
        <v>87.915000000000006</v>
      </c>
      <c r="CK19" s="187">
        <f t="shared" si="7"/>
        <v>1.8473738494873388</v>
      </c>
      <c r="CL19" s="187">
        <f>Мос!C45</f>
        <v>181.68199999999999</v>
      </c>
      <c r="CM19" s="187">
        <f>Мос!D45</f>
        <v>44.499000000000002</v>
      </c>
      <c r="CN19" s="187">
        <f t="shared" si="8"/>
        <v>24.492795103532551</v>
      </c>
      <c r="CO19" s="187">
        <f>Мос!C48</f>
        <v>0</v>
      </c>
      <c r="CP19" s="187">
        <f>Мос!D46</f>
        <v>0</v>
      </c>
      <c r="CQ19" s="187" t="e">
        <f>CP19/CO19*100</f>
        <v>#DIV/0!</v>
      </c>
      <c r="CR19" s="401">
        <f>Мос!C51</f>
        <v>887.46906999999999</v>
      </c>
      <c r="CS19" s="187">
        <f>Мос!D51</f>
        <v>0</v>
      </c>
      <c r="CT19" s="187">
        <f t="shared" si="9"/>
        <v>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88">
        <f t="shared" si="39"/>
        <v>11354.41934</v>
      </c>
      <c r="DH19" s="188">
        <f t="shared" si="39"/>
        <v>675.76899000000003</v>
      </c>
      <c r="DI19" s="187">
        <f t="shared" si="40"/>
        <v>5.9515944388222675</v>
      </c>
      <c r="DJ19" s="195">
        <f t="shared" si="41"/>
        <v>2124.7999999999997</v>
      </c>
      <c r="DK19" s="195">
        <f t="shared" si="41"/>
        <v>364.16136</v>
      </c>
      <c r="DL19" s="187">
        <f t="shared" si="42"/>
        <v>17.138618222891569</v>
      </c>
      <c r="DM19" s="187">
        <f>Мос!C59</f>
        <v>2115.3229999999999</v>
      </c>
      <c r="DN19" s="187">
        <f>Мос!D59</f>
        <v>364.16136</v>
      </c>
      <c r="DO19" s="187">
        <f t="shared" si="43"/>
        <v>17.215402092257307</v>
      </c>
      <c r="DP19" s="187">
        <f>Мос!C62</f>
        <v>0</v>
      </c>
      <c r="DQ19" s="187">
        <f>Мос!D62</f>
        <v>0</v>
      </c>
      <c r="DR19" s="187" t="e">
        <f t="shared" si="44"/>
        <v>#DIV/0!</v>
      </c>
      <c r="DS19" s="187">
        <f>Мос!C63</f>
        <v>5</v>
      </c>
      <c r="DT19" s="187">
        <f>Мос!D63</f>
        <v>0</v>
      </c>
      <c r="DU19" s="187">
        <f t="shared" si="45"/>
        <v>0</v>
      </c>
      <c r="DV19" s="187">
        <f>Мос!C64</f>
        <v>4.4770000000000003</v>
      </c>
      <c r="DW19" s="187">
        <f>Мос!D64</f>
        <v>0</v>
      </c>
      <c r="DX19" s="187">
        <f t="shared" si="46"/>
        <v>0</v>
      </c>
      <c r="DY19" s="187">
        <f>Мос!C66</f>
        <v>179.892</v>
      </c>
      <c r="DZ19" s="187">
        <f>Мос!D66</f>
        <v>33.986879999999999</v>
      </c>
      <c r="EA19" s="187">
        <f t="shared" si="47"/>
        <v>18.892935761456876</v>
      </c>
      <c r="EB19" s="187">
        <f>Мос!C67</f>
        <v>9</v>
      </c>
      <c r="EC19" s="187">
        <f>Мос!D67</f>
        <v>0.6</v>
      </c>
      <c r="ED19" s="187">
        <f t="shared" si="48"/>
        <v>6.666666666666667</v>
      </c>
      <c r="EE19" s="195">
        <f>Мос!C73</f>
        <v>6768.4988400000002</v>
      </c>
      <c r="EF19" s="195">
        <f>Мос!D73</f>
        <v>160.89941999999999</v>
      </c>
      <c r="EG19" s="187">
        <f t="shared" si="49"/>
        <v>2.3771802847793646</v>
      </c>
      <c r="EH19" s="195">
        <f>Мос!C78</f>
        <v>830.52850000000001</v>
      </c>
      <c r="EI19" s="195">
        <f>Мос!D78</f>
        <v>106.12133</v>
      </c>
      <c r="EJ19" s="187">
        <f t="shared" si="50"/>
        <v>12.777566332762813</v>
      </c>
      <c r="EK19" s="195">
        <f>Мос!C83</f>
        <v>1411.7</v>
      </c>
      <c r="EL19" s="197">
        <f>Мос!D83</f>
        <v>0</v>
      </c>
      <c r="EM19" s="187">
        <f t="shared" si="10"/>
        <v>0</v>
      </c>
      <c r="EN19" s="187">
        <f>Мос!C91</f>
        <v>0</v>
      </c>
      <c r="EO19" s="187">
        <f>Мос!D91</f>
        <v>0</v>
      </c>
      <c r="EP19" s="187" t="e">
        <f t="shared" si="11"/>
        <v>#DIV/0!</v>
      </c>
      <c r="EQ19" s="198">
        <f>Мос!C93</f>
        <v>30</v>
      </c>
      <c r="ER19" s="198">
        <f>Мос!D93</f>
        <v>10</v>
      </c>
      <c r="ES19" s="187">
        <f t="shared" si="51"/>
        <v>33.333333333333329</v>
      </c>
      <c r="ET19" s="187">
        <f>Мос!C99</f>
        <v>0</v>
      </c>
      <c r="EU19" s="187">
        <f>Мос!D99</f>
        <v>0</v>
      </c>
      <c r="EV19" s="187" t="e">
        <f t="shared" si="52"/>
        <v>#DIV/0!</v>
      </c>
      <c r="EW19" s="402">
        <f t="shared" si="12"/>
        <v>-785.19563000000016</v>
      </c>
      <c r="EX19" s="402">
        <f t="shared" si="13"/>
        <v>210.17840999999987</v>
      </c>
      <c r="EY19" s="187">
        <f t="shared" si="54"/>
        <v>-26.767648974307185</v>
      </c>
      <c r="EZ19" s="403"/>
      <c r="FA19" s="404"/>
      <c r="FC19" s="404"/>
    </row>
    <row r="20" spans="1:170" s="169" customFormat="1" ht="15" customHeight="1">
      <c r="A20" s="181">
        <v>7</v>
      </c>
      <c r="B20" s="194" t="s">
        <v>310</v>
      </c>
      <c r="C20" s="458">
        <f t="shared" si="14"/>
        <v>5644.6009999999997</v>
      </c>
      <c r="D20" s="444">
        <f t="shared" si="0"/>
        <v>875.53095000000008</v>
      </c>
      <c r="E20" s="187">
        <f t="shared" si="1"/>
        <v>15.510944883438176</v>
      </c>
      <c r="F20" s="185">
        <f t="shared" si="2"/>
        <v>2674.6179999999999</v>
      </c>
      <c r="G20" s="185">
        <f t="shared" si="3"/>
        <v>254.21594999999999</v>
      </c>
      <c r="H20" s="187">
        <f t="shared" si="15"/>
        <v>9.5047573148763682</v>
      </c>
      <c r="I20" s="290">
        <f>Ори!C6</f>
        <v>244.083</v>
      </c>
      <c r="J20" s="291">
        <f>Ори!D6</f>
        <v>45.724499999999999</v>
      </c>
      <c r="K20" s="187">
        <f t="shared" si="16"/>
        <v>18.733176829193347</v>
      </c>
      <c r="L20" s="187">
        <f>Ори!C8</f>
        <v>158.35</v>
      </c>
      <c r="M20" s="187">
        <f>Ори!D8</f>
        <v>54.729759999999999</v>
      </c>
      <c r="N20" s="184">
        <f t="shared" si="17"/>
        <v>34.562526049889485</v>
      </c>
      <c r="O20" s="184">
        <f>Ори!C9</f>
        <v>1.6950000000000001</v>
      </c>
      <c r="P20" s="184">
        <f>Ори!D9</f>
        <v>0.38240000000000002</v>
      </c>
      <c r="Q20" s="184">
        <f t="shared" si="18"/>
        <v>22.560471976401182</v>
      </c>
      <c r="R20" s="184">
        <f>Ори!C10</f>
        <v>264.49</v>
      </c>
      <c r="S20" s="184">
        <f>Ори!D10</f>
        <v>80.24512</v>
      </c>
      <c r="T20" s="184">
        <f t="shared" si="19"/>
        <v>30.339566713297287</v>
      </c>
      <c r="U20" s="184">
        <f>Ори!C11</f>
        <v>0</v>
      </c>
      <c r="V20" s="395">
        <f>Ори!D11</f>
        <v>-10.771229999999999</v>
      </c>
      <c r="W20" s="184" t="e">
        <f t="shared" si="20"/>
        <v>#DIV/0!</v>
      </c>
      <c r="X20" s="195">
        <f>Ори!C13</f>
        <v>40</v>
      </c>
      <c r="Y20" s="195">
        <f>Ори!D13</f>
        <v>1.026</v>
      </c>
      <c r="Z20" s="187">
        <f t="shared" si="21"/>
        <v>2.5649999999999999</v>
      </c>
      <c r="AA20" s="195">
        <f>Ори!C15</f>
        <v>326</v>
      </c>
      <c r="AB20" s="394">
        <f>Ори!D15</f>
        <v>0.98126000000000002</v>
      </c>
      <c r="AC20" s="187">
        <f t="shared" si="22"/>
        <v>0.30099999999999999</v>
      </c>
      <c r="AD20" s="195">
        <f>Ори!C16</f>
        <v>1550</v>
      </c>
      <c r="AE20" s="195">
        <f>Ори!D16</f>
        <v>61.166229999999999</v>
      </c>
      <c r="AF20" s="187">
        <f t="shared" si="4"/>
        <v>3.9462083870967746</v>
      </c>
      <c r="AG20" s="187">
        <f>Ори!C18</f>
        <v>10</v>
      </c>
      <c r="AH20" s="187">
        <f>Ори!D18</f>
        <v>0.5</v>
      </c>
      <c r="AI20" s="187">
        <f t="shared" si="23"/>
        <v>5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50</v>
      </c>
      <c r="AQ20" s="433">
        <f>Ори!D27</f>
        <v>4.6500000000000004</v>
      </c>
      <c r="AR20" s="187">
        <f t="shared" si="24"/>
        <v>9.3000000000000007</v>
      </c>
      <c r="AS20" s="188">
        <f>Ори!C28</f>
        <v>30</v>
      </c>
      <c r="AT20" s="393">
        <f>Ори!D28</f>
        <v>9</v>
      </c>
      <c r="AU20" s="187">
        <f t="shared" si="25"/>
        <v>30</v>
      </c>
      <c r="AV20" s="195"/>
      <c r="AW20" s="195"/>
      <c r="AX20" s="187" t="e">
        <f t="shared" si="26"/>
        <v>#DIV/0!</v>
      </c>
      <c r="AY20" s="187">
        <f>Ори!C30</f>
        <v>0</v>
      </c>
      <c r="AZ20" s="226">
        <f>Ори!D30</f>
        <v>11.231909999999999</v>
      </c>
      <c r="BA20" s="187" t="e">
        <f t="shared" si="27"/>
        <v>#DIV/0!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6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-4.6500000000000004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2969.9829999999997</v>
      </c>
      <c r="CA20" s="186">
        <f t="shared" si="35"/>
        <v>621.31500000000005</v>
      </c>
      <c r="CB20" s="187">
        <f t="shared" si="53"/>
        <v>20.919816712755598</v>
      </c>
      <c r="CC20" s="187">
        <f>Ори!C41</f>
        <v>1462.5</v>
      </c>
      <c r="CD20" s="187">
        <f>Ори!D41</f>
        <v>365.625</v>
      </c>
      <c r="CE20" s="187">
        <f t="shared" si="36"/>
        <v>25</v>
      </c>
      <c r="CF20" s="187">
        <f>Ори!C42</f>
        <v>200</v>
      </c>
      <c r="CG20" s="187">
        <f>Ори!D42</f>
        <v>0</v>
      </c>
      <c r="CH20" s="187">
        <f t="shared" si="37"/>
        <v>0</v>
      </c>
      <c r="CI20" s="187">
        <f>Ори!C43</f>
        <v>1125.08</v>
      </c>
      <c r="CJ20" s="187">
        <f>Ори!D43</f>
        <v>211.191</v>
      </c>
      <c r="CK20" s="187">
        <f t="shared" si="7"/>
        <v>18.77119849255164</v>
      </c>
      <c r="CL20" s="187">
        <f>Ори!C45</f>
        <v>182.40299999999999</v>
      </c>
      <c r="CM20" s="187">
        <f>Ори!D45</f>
        <v>44.499000000000002</v>
      </c>
      <c r="CN20" s="187">
        <f t="shared" si="8"/>
        <v>24.395980329270902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401">
        <f>Ори!C47</f>
        <v>0</v>
      </c>
      <c r="CS20" s="187">
        <f>Ори!D47</f>
        <v>0</v>
      </c>
      <c r="CT20" s="187" t="e">
        <f t="shared" si="9"/>
        <v>#DIV/0!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88">
        <f t="shared" si="39"/>
        <v>6004.4174800000001</v>
      </c>
      <c r="DH20" s="188">
        <f t="shared" si="39"/>
        <v>961.88704000000007</v>
      </c>
      <c r="DI20" s="187">
        <f t="shared" si="40"/>
        <v>16.01965624815282</v>
      </c>
      <c r="DJ20" s="195">
        <f t="shared" si="41"/>
        <v>1204.2350000000001</v>
      </c>
      <c r="DK20" s="195">
        <f t="shared" si="41"/>
        <v>237.77133000000001</v>
      </c>
      <c r="DL20" s="187">
        <f t="shared" si="42"/>
        <v>19.74459553160305</v>
      </c>
      <c r="DM20" s="187">
        <f>Ори!C58</f>
        <v>1195.0350000000001</v>
      </c>
      <c r="DN20" s="187">
        <f>Ори!D58</f>
        <v>233.73683</v>
      </c>
      <c r="DO20" s="187">
        <f t="shared" si="43"/>
        <v>19.558994506437049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4.2</v>
      </c>
      <c r="DW20" s="187">
        <f>Ори!D63</f>
        <v>4.0345000000000004</v>
      </c>
      <c r="DX20" s="187">
        <f t="shared" si="46"/>
        <v>96.05952380952381</v>
      </c>
      <c r="DY20" s="187">
        <f>Ори!C65</f>
        <v>179.892</v>
      </c>
      <c r="DZ20" s="187">
        <f>Ори!D65</f>
        <v>33.378</v>
      </c>
      <c r="EA20" s="187">
        <f t="shared" si="47"/>
        <v>18.554466012941099</v>
      </c>
      <c r="EB20" s="187">
        <f>Ори!C66</f>
        <v>10</v>
      </c>
      <c r="EC20" s="187">
        <f>Ори!D66</f>
        <v>1.35</v>
      </c>
      <c r="ED20" s="187">
        <f t="shared" si="48"/>
        <v>13.5</v>
      </c>
      <c r="EE20" s="195">
        <f>Ори!C72</f>
        <v>1918.6814800000002</v>
      </c>
      <c r="EF20" s="195">
        <f>Ори!D72</f>
        <v>224.49244999999999</v>
      </c>
      <c r="EG20" s="187">
        <f t="shared" si="49"/>
        <v>11.700350075823945</v>
      </c>
      <c r="EH20" s="195">
        <f>Ори!C77</f>
        <v>1090.509</v>
      </c>
      <c r="EI20" s="195">
        <f>Ори!D77</f>
        <v>67.317260000000005</v>
      </c>
      <c r="EJ20" s="187">
        <f t="shared" si="50"/>
        <v>6.1730127857725154</v>
      </c>
      <c r="EK20" s="195">
        <f>Ори!C82</f>
        <v>1599.1</v>
      </c>
      <c r="EL20" s="197">
        <f>Ори!D82</f>
        <v>397.57799999999997</v>
      </c>
      <c r="EM20" s="187">
        <f t="shared" si="10"/>
        <v>24.862610218247763</v>
      </c>
      <c r="EN20" s="187">
        <f>Ори!C84</f>
        <v>0</v>
      </c>
      <c r="EO20" s="187">
        <f>Ори!D84</f>
        <v>0</v>
      </c>
      <c r="EP20" s="187" t="e">
        <f t="shared" si="11"/>
        <v>#DIV/0!</v>
      </c>
      <c r="EQ20" s="198">
        <f>Ори!C89</f>
        <v>2</v>
      </c>
      <c r="ER20" s="198">
        <f>Ори!D89</f>
        <v>0</v>
      </c>
      <c r="ES20" s="187">
        <f t="shared" si="51"/>
        <v>0</v>
      </c>
      <c r="ET20" s="187">
        <f>Ори!C95</f>
        <v>0</v>
      </c>
      <c r="EU20" s="187">
        <f>Ори!D95</f>
        <v>0</v>
      </c>
      <c r="EV20" s="184" t="e">
        <f t="shared" si="52"/>
        <v>#DIV/0!</v>
      </c>
      <c r="EW20" s="191">
        <f t="shared" si="12"/>
        <v>-359.81648000000041</v>
      </c>
      <c r="EX20" s="191">
        <f t="shared" si="13"/>
        <v>-86.356089999999995</v>
      </c>
      <c r="EY20" s="184">
        <f t="shared" si="54"/>
        <v>24.000037463542498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458">
        <f t="shared" si="14"/>
        <v>7246.5149999999994</v>
      </c>
      <c r="D21" s="444">
        <f t="shared" si="0"/>
        <v>1617.9683799999998</v>
      </c>
      <c r="E21" s="187">
        <f t="shared" si="1"/>
        <v>22.327537857853049</v>
      </c>
      <c r="F21" s="185">
        <f t="shared" si="2"/>
        <v>1917.2080000000001</v>
      </c>
      <c r="G21" s="185">
        <f t="shared" si="3"/>
        <v>368.49637999999993</v>
      </c>
      <c r="H21" s="187">
        <f t="shared" si="15"/>
        <v>19.220469557815317</v>
      </c>
      <c r="I21" s="195">
        <f>Сят!C6</f>
        <v>111.54300000000001</v>
      </c>
      <c r="J21" s="188">
        <f>Сят!D6</f>
        <v>26.415610000000001</v>
      </c>
      <c r="K21" s="187">
        <f t="shared" si="16"/>
        <v>23.6819970773603</v>
      </c>
      <c r="L21" s="187">
        <f>Сят!C8</f>
        <v>195.33</v>
      </c>
      <c r="M21" s="187">
        <f>Сят!D8</f>
        <v>67.509299999999996</v>
      </c>
      <c r="N21" s="184">
        <f t="shared" si="17"/>
        <v>34.561664874827215</v>
      </c>
      <c r="O21" s="184">
        <f>Сят!C9</f>
        <v>2.0950000000000002</v>
      </c>
      <c r="P21" s="184">
        <f>Сят!D9</f>
        <v>0.47171000000000002</v>
      </c>
      <c r="Q21" s="184">
        <f t="shared" si="18"/>
        <v>22.515990453460617</v>
      </c>
      <c r="R21" s="184">
        <f>Сят!C10</f>
        <v>326.24</v>
      </c>
      <c r="S21" s="184">
        <f>Сят!D10</f>
        <v>98.982529999999997</v>
      </c>
      <c r="T21" s="184">
        <f t="shared" si="19"/>
        <v>30.340402770966158</v>
      </c>
      <c r="U21" s="184">
        <f>Сят!C11</f>
        <v>0</v>
      </c>
      <c r="V21" s="395">
        <f>Сят!D11</f>
        <v>-13.286350000000001</v>
      </c>
      <c r="W21" s="184" t="e">
        <f t="shared" si="20"/>
        <v>#DIV/0!</v>
      </c>
      <c r="X21" s="195">
        <f>Сят!C13</f>
        <v>45</v>
      </c>
      <c r="Y21" s="195">
        <f>Сят!D13</f>
        <v>13.5954</v>
      </c>
      <c r="Z21" s="187">
        <f t="shared" si="21"/>
        <v>30.212</v>
      </c>
      <c r="AA21" s="195">
        <f>Сят!C15</f>
        <v>138</v>
      </c>
      <c r="AB21" s="394">
        <f>Сят!D15</f>
        <v>5.8067399999999996</v>
      </c>
      <c r="AC21" s="187">
        <f t="shared" si="22"/>
        <v>4.207782608695652</v>
      </c>
      <c r="AD21" s="195">
        <f>Сят!C16</f>
        <v>1000</v>
      </c>
      <c r="AE21" s="195">
        <f>Сят!D16</f>
        <v>144.12299999999999</v>
      </c>
      <c r="AF21" s="187">
        <f t="shared" si="4"/>
        <v>14.4123</v>
      </c>
      <c r="AG21" s="187">
        <f>Сят!C18</f>
        <v>10</v>
      </c>
      <c r="AH21" s="187">
        <f>Сят!D18</f>
        <v>2.1749999999999998</v>
      </c>
      <c r="AI21" s="187">
        <f t="shared" si="23"/>
        <v>21.749999999999996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83</v>
      </c>
      <c r="AQ21" s="433">
        <f>Сят!D27</f>
        <v>21.01</v>
      </c>
      <c r="AR21" s="187">
        <f t="shared" si="24"/>
        <v>25.313253012048193</v>
      </c>
      <c r="AS21" s="188">
        <f>Сят!C28</f>
        <v>6</v>
      </c>
      <c r="AT21" s="393">
        <f>Сят!D28</f>
        <v>1.6934400000000001</v>
      </c>
      <c r="AU21" s="187">
        <f t="shared" si="25"/>
        <v>28.224</v>
      </c>
      <c r="AV21" s="195"/>
      <c r="AW21" s="195"/>
      <c r="AX21" s="187" t="e">
        <f t="shared" si="26"/>
        <v>#DIV/0!</v>
      </c>
      <c r="AY21" s="187">
        <f>Сят!C30</f>
        <v>0</v>
      </c>
      <c r="AZ21" s="226">
        <f>Сят!D30</f>
        <v>0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>
        <f>Сят!C34</f>
        <v>0</v>
      </c>
      <c r="BO21" s="356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0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5329.3069999999998</v>
      </c>
      <c r="CA21" s="186">
        <f t="shared" si="35"/>
        <v>1249.472</v>
      </c>
      <c r="CB21" s="187">
        <f t="shared" si="53"/>
        <v>23.445299735969424</v>
      </c>
      <c r="CC21" s="187">
        <f>Сят!C41</f>
        <v>2862</v>
      </c>
      <c r="CD21" s="187">
        <f>Сят!D41</f>
        <v>715.5</v>
      </c>
      <c r="CE21" s="187">
        <f t="shared" si="36"/>
        <v>25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2060.44</v>
      </c>
      <c r="CJ21" s="187">
        <f>Сят!D43</f>
        <v>264.649</v>
      </c>
      <c r="CK21" s="187">
        <f t="shared" si="7"/>
        <v>12.844295393216981</v>
      </c>
      <c r="CL21" s="187">
        <f>Сят!C44</f>
        <v>182.04300000000001</v>
      </c>
      <c r="CM21" s="187">
        <f>Сят!D44</f>
        <v>44.499000000000002</v>
      </c>
      <c r="CN21" s="187">
        <f t="shared" si="8"/>
        <v>24.444224716138496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401">
        <f>Сят!C49</f>
        <v>224.82400000000001</v>
      </c>
      <c r="CS21" s="187">
        <f>Сят!D49</f>
        <v>224.82400000000001</v>
      </c>
      <c r="CT21" s="187">
        <f t="shared" si="9"/>
        <v>100</v>
      </c>
      <c r="CU21" s="187"/>
      <c r="CV21" s="187">
        <f>Сят!D50</f>
        <v>0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88">
        <f t="shared" si="39"/>
        <v>7535.0388499999999</v>
      </c>
      <c r="DH21" s="188">
        <f t="shared" si="39"/>
        <v>1080.6033</v>
      </c>
      <c r="DI21" s="187">
        <f t="shared" si="40"/>
        <v>14.341044837479505</v>
      </c>
      <c r="DJ21" s="195">
        <f t="shared" si="41"/>
        <v>1357.5060000000001</v>
      </c>
      <c r="DK21" s="195">
        <f>Сят!D56</f>
        <v>237.80822000000001</v>
      </c>
      <c r="DL21" s="187">
        <f t="shared" si="42"/>
        <v>17.518023493082165</v>
      </c>
      <c r="DM21" s="187">
        <f>Сят!C58</f>
        <v>1348</v>
      </c>
      <c r="DN21" s="187">
        <f>Сят!D58</f>
        <v>233.30271999999999</v>
      </c>
      <c r="DO21" s="187">
        <f t="shared" si="43"/>
        <v>17.3073234421365</v>
      </c>
      <c r="DP21" s="187">
        <f>Сят!C61</f>
        <v>0</v>
      </c>
      <c r="DQ21" s="187">
        <f>Сят!D61</f>
        <v>0</v>
      </c>
      <c r="DR21" s="187" t="e">
        <f t="shared" si="44"/>
        <v>#DIV/0!</v>
      </c>
      <c r="DS21" s="187">
        <f>Сят!C62</f>
        <v>5</v>
      </c>
      <c r="DT21" s="187">
        <f>Сят!D62</f>
        <v>0</v>
      </c>
      <c r="DU21" s="187">
        <f t="shared" si="45"/>
        <v>0</v>
      </c>
      <c r="DV21" s="187">
        <f>Сят!C63</f>
        <v>4.5060000000000002</v>
      </c>
      <c r="DW21" s="187">
        <f>Сят!D63</f>
        <v>4.5054999999999996</v>
      </c>
      <c r="DX21" s="187">
        <f t="shared" si="46"/>
        <v>99.988903683976901</v>
      </c>
      <c r="DY21" s="187">
        <f>Сят!C65</f>
        <v>179.892</v>
      </c>
      <c r="DZ21" s="187">
        <f>Сят!D65</f>
        <v>34.253120000000003</v>
      </c>
      <c r="EA21" s="187">
        <f t="shared" si="47"/>
        <v>19.040935672514621</v>
      </c>
      <c r="EB21" s="187">
        <f>Сят!C66</f>
        <v>6</v>
      </c>
      <c r="EC21" s="187">
        <f>Сят!D66</f>
        <v>0</v>
      </c>
      <c r="ED21" s="187">
        <f t="shared" si="48"/>
        <v>0</v>
      </c>
      <c r="EE21" s="195">
        <f>Сят!C72</f>
        <v>3450.3148500000002</v>
      </c>
      <c r="EF21" s="195">
        <f>Сят!D72</f>
        <v>209.52681000000001</v>
      </c>
      <c r="EG21" s="187">
        <f t="shared" si="49"/>
        <v>6.0726866708990341</v>
      </c>
      <c r="EH21" s="195">
        <f>Сят!C77</f>
        <v>492.63799999999998</v>
      </c>
      <c r="EI21" s="195">
        <f>Сят!D77</f>
        <v>17</v>
      </c>
      <c r="EJ21" s="187">
        <f t="shared" si="50"/>
        <v>3.4508097223519094</v>
      </c>
      <c r="EK21" s="195">
        <f>Сят!C81</f>
        <v>2028.6880000000001</v>
      </c>
      <c r="EL21" s="197">
        <f>Сят!D81</f>
        <v>580.41615000000002</v>
      </c>
      <c r="EM21" s="187">
        <f t="shared" si="10"/>
        <v>28.610419640674166</v>
      </c>
      <c r="EN21" s="187">
        <f>Сят!C83</f>
        <v>0</v>
      </c>
      <c r="EO21" s="187">
        <f>Сят!D83</f>
        <v>0</v>
      </c>
      <c r="EP21" s="187" t="e">
        <f t="shared" si="11"/>
        <v>#DIV/0!</v>
      </c>
      <c r="EQ21" s="198">
        <f>Сят!C88</f>
        <v>20</v>
      </c>
      <c r="ER21" s="198">
        <f>Сят!D88</f>
        <v>1.599</v>
      </c>
      <c r="ES21" s="187">
        <f t="shared" si="51"/>
        <v>7.9949999999999992</v>
      </c>
      <c r="ET21" s="187">
        <f>Сят!C94</f>
        <v>0</v>
      </c>
      <c r="EU21" s="187">
        <f>Сят!D94</f>
        <v>0</v>
      </c>
      <c r="EV21" s="184" t="e">
        <f t="shared" si="52"/>
        <v>#DIV/0!</v>
      </c>
      <c r="EW21" s="191">
        <f t="shared" si="12"/>
        <v>-288.52385000000049</v>
      </c>
      <c r="EX21" s="191">
        <f t="shared" si="13"/>
        <v>537.36507999999981</v>
      </c>
      <c r="EY21" s="184">
        <f t="shared" si="54"/>
        <v>-186.24632937623662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3" customFormat="1" ht="15" customHeight="1">
      <c r="A22" s="224">
        <v>9</v>
      </c>
      <c r="B22" s="225" t="s">
        <v>312</v>
      </c>
      <c r="C22" s="460">
        <f>F22+BZ22</f>
        <v>7662.29943</v>
      </c>
      <c r="D22" s="445">
        <f t="shared" si="0"/>
        <v>1130.4404999999999</v>
      </c>
      <c r="E22" s="226">
        <f t="shared" si="1"/>
        <v>14.753280139040454</v>
      </c>
      <c r="F22" s="227">
        <f>I22+X22+AA22+AD22+AG22+AM22+AS22+BE22+BQ22+BN22+AJ22+AY22+L22+R22+O22+U22+AP22</f>
        <v>1839.3039999999999</v>
      </c>
      <c r="G22" s="227">
        <f t="shared" si="3"/>
        <v>382.01650000000001</v>
      </c>
      <c r="H22" s="226">
        <f t="shared" si="15"/>
        <v>20.769622639868128</v>
      </c>
      <c r="I22" s="188">
        <f>Тор!C6</f>
        <v>105.069</v>
      </c>
      <c r="J22" s="188">
        <f>Тор!D6</f>
        <v>23.969819999999999</v>
      </c>
      <c r="K22" s="226">
        <f t="shared" si="16"/>
        <v>22.813408331667759</v>
      </c>
      <c r="L22" s="226">
        <f>Тор!C8</f>
        <v>270.89</v>
      </c>
      <c r="M22" s="226">
        <f>Тор!D8</f>
        <v>93.624009999999998</v>
      </c>
      <c r="N22" s="226">
        <f t="shared" si="17"/>
        <v>34.561633873528002</v>
      </c>
      <c r="O22" s="226">
        <f>Тор!C9</f>
        <v>2.9049999999999998</v>
      </c>
      <c r="P22" s="226">
        <f>Тор!D9</f>
        <v>0.65415000000000001</v>
      </c>
      <c r="Q22" s="226">
        <f t="shared" si="18"/>
        <v>22.518072289156628</v>
      </c>
      <c r="R22" s="226">
        <f>Тор!C10</f>
        <v>452.44</v>
      </c>
      <c r="S22" s="226">
        <f>Тор!D10</f>
        <v>137.27211</v>
      </c>
      <c r="T22" s="226">
        <f t="shared" si="19"/>
        <v>30.340400937140839</v>
      </c>
      <c r="U22" s="226">
        <f>Тор!C11</f>
        <v>0</v>
      </c>
      <c r="V22" s="396">
        <f>Тор!D11</f>
        <v>-18.425920000000001</v>
      </c>
      <c r="W22" s="226" t="e">
        <f t="shared" si="20"/>
        <v>#DIV/0!</v>
      </c>
      <c r="X22" s="188">
        <f>Тор!C13</f>
        <v>25</v>
      </c>
      <c r="Y22" s="188">
        <f>Тор!D13</f>
        <v>52.619700000000002</v>
      </c>
      <c r="Z22" s="226">
        <f t="shared" si="21"/>
        <v>210.47880000000001</v>
      </c>
      <c r="AA22" s="188">
        <f>Тор!C15</f>
        <v>153</v>
      </c>
      <c r="AB22" s="394">
        <f>Тор!D15</f>
        <v>6.0052199999999996</v>
      </c>
      <c r="AC22" s="226">
        <f t="shared" si="22"/>
        <v>3.9249803921568627</v>
      </c>
      <c r="AD22" s="188">
        <f>Тор!C16</f>
        <v>470</v>
      </c>
      <c r="AE22" s="188">
        <f>Тор!D16</f>
        <v>39.313499999999998</v>
      </c>
      <c r="AF22" s="226">
        <f t="shared" si="4"/>
        <v>8.364574468085106</v>
      </c>
      <c r="AG22" s="226">
        <f>Тор!C18</f>
        <v>10</v>
      </c>
      <c r="AH22" s="226">
        <f>Тор!D18</f>
        <v>3.4</v>
      </c>
      <c r="AI22" s="226">
        <f t="shared" si="23"/>
        <v>34</v>
      </c>
      <c r="AJ22" s="226"/>
      <c r="AK22" s="226">
        <f>Тор!D20</f>
        <v>0</v>
      </c>
      <c r="AL22" s="226" t="e">
        <f t="shared" si="5"/>
        <v>#DIV/0!</v>
      </c>
      <c r="AM22" s="188">
        <v>0</v>
      </c>
      <c r="AN22" s="188">
        <v>0</v>
      </c>
      <c r="AO22" s="226" t="e">
        <f t="shared" si="6"/>
        <v>#DIV/0!</v>
      </c>
      <c r="AP22" s="188">
        <f>Тор!C27</f>
        <v>300</v>
      </c>
      <c r="AQ22" s="434">
        <f>Тор!D27</f>
        <v>16.739999999999998</v>
      </c>
      <c r="AR22" s="226">
        <f t="shared" si="24"/>
        <v>5.5799999999999992</v>
      </c>
      <c r="AS22" s="188">
        <f>Тор!C28</f>
        <v>50</v>
      </c>
      <c r="AT22" s="394">
        <f>Тор!D28</f>
        <v>19.25976</v>
      </c>
      <c r="AU22" s="226">
        <f t="shared" si="25"/>
        <v>38.51952</v>
      </c>
      <c r="AV22" s="188"/>
      <c r="AW22" s="188"/>
      <c r="AX22" s="226" t="e">
        <f t="shared" si="26"/>
        <v>#DIV/0!</v>
      </c>
      <c r="AY22" s="226">
        <f>Тор!C29</f>
        <v>0</v>
      </c>
      <c r="AZ22" s="226">
        <f>Тор!D29</f>
        <v>7.5841500000000002</v>
      </c>
      <c r="BA22" s="226" t="e">
        <f t="shared" si="27"/>
        <v>#DIV/0!</v>
      </c>
      <c r="BB22" s="226"/>
      <c r="BC22" s="226"/>
      <c r="BD22" s="226"/>
      <c r="BE22" s="226">
        <f>Тор!C34+Тор!C33</f>
        <v>0</v>
      </c>
      <c r="BF22" s="226">
        <f>Тор!D32</f>
        <v>0</v>
      </c>
      <c r="BG22" s="226" t="e">
        <f t="shared" si="28"/>
        <v>#DIV/0!</v>
      </c>
      <c r="BH22" s="226"/>
      <c r="BI22" s="226"/>
      <c r="BJ22" s="226" t="e">
        <f t="shared" si="29"/>
        <v>#DIV/0!</v>
      </c>
      <c r="BK22" s="226"/>
      <c r="BL22" s="226"/>
      <c r="BM22" s="226"/>
      <c r="BN22" s="226"/>
      <c r="BO22" s="357">
        <f>Тор!D35</f>
        <v>0</v>
      </c>
      <c r="BP22" s="226" t="e">
        <f t="shared" si="30"/>
        <v>#DIV/0!</v>
      </c>
      <c r="BQ22" s="226">
        <f>Тор!C37</f>
        <v>0</v>
      </c>
      <c r="BR22" s="226">
        <f>Тор!D37</f>
        <v>0</v>
      </c>
      <c r="BS22" s="226" t="e">
        <f t="shared" si="31"/>
        <v>#DIV/0!</v>
      </c>
      <c r="BT22" s="226"/>
      <c r="BU22" s="226"/>
      <c r="BV22" s="228" t="e">
        <f t="shared" si="32"/>
        <v>#DIV/0!</v>
      </c>
      <c r="BW22" s="228"/>
      <c r="BX22" s="228"/>
      <c r="BY22" s="228" t="e">
        <f t="shared" si="33"/>
        <v>#DIV/0!</v>
      </c>
      <c r="BZ22" s="188">
        <f t="shared" si="34"/>
        <v>5822.9954299999999</v>
      </c>
      <c r="CA22" s="186">
        <f t="shared" si="35"/>
        <v>748.42399999999998</v>
      </c>
      <c r="CB22" s="226">
        <f t="shared" si="53"/>
        <v>12.852903784607642</v>
      </c>
      <c r="CC22" s="226">
        <f>Тор!C42</f>
        <v>1424.6</v>
      </c>
      <c r="CD22" s="226">
        <f>Тор!D42</f>
        <v>356.15100000000001</v>
      </c>
      <c r="CE22" s="226">
        <f t="shared" si="36"/>
        <v>25.000070195142499</v>
      </c>
      <c r="CF22" s="226">
        <f>Тор!C43</f>
        <v>260</v>
      </c>
      <c r="CG22" s="226">
        <f>Тор!D43</f>
        <v>65</v>
      </c>
      <c r="CH22" s="226">
        <f t="shared" si="37"/>
        <v>25</v>
      </c>
      <c r="CI22" s="226">
        <f>Тор!C44</f>
        <v>3448.5478199999998</v>
      </c>
      <c r="CJ22" s="226">
        <f>Тор!D44</f>
        <v>282.774</v>
      </c>
      <c r="CK22" s="226">
        <f t="shared" si="7"/>
        <v>8.1997992998687774</v>
      </c>
      <c r="CL22" s="226">
        <f>Тор!C45</f>
        <v>181.68199999999999</v>
      </c>
      <c r="CM22" s="226">
        <f>Тор!D45</f>
        <v>44.499000000000002</v>
      </c>
      <c r="CN22" s="226">
        <f t="shared" si="8"/>
        <v>24.492795103532551</v>
      </c>
      <c r="CO22" s="226">
        <f>Тор!C46</f>
        <v>0</v>
      </c>
      <c r="CP22" s="226">
        <f>Тор!D46</f>
        <v>0</v>
      </c>
      <c r="CQ22" s="226"/>
      <c r="CR22" s="396">
        <f>Тор!C48</f>
        <v>508.16561000000002</v>
      </c>
      <c r="CS22" s="226">
        <f>Тор!D48</f>
        <v>0</v>
      </c>
      <c r="CT22" s="226">
        <f t="shared" si="9"/>
        <v>0</v>
      </c>
      <c r="CU22" s="226"/>
      <c r="CV22" s="226">
        <f>Тор!D49</f>
        <v>0</v>
      </c>
      <c r="CW22" s="226"/>
      <c r="CX22" s="188"/>
      <c r="CY22" s="188"/>
      <c r="CZ22" s="226" t="e">
        <f t="shared" si="38"/>
        <v>#DIV/0!</v>
      </c>
      <c r="DA22" s="226"/>
      <c r="DB22" s="226"/>
      <c r="DC22" s="226"/>
      <c r="DD22" s="226"/>
      <c r="DE22" s="226"/>
      <c r="DF22" s="226"/>
      <c r="DG22" s="188">
        <f t="shared" si="39"/>
        <v>8096.5230700000011</v>
      </c>
      <c r="DH22" s="188">
        <f t="shared" si="39"/>
        <v>899.25121999999988</v>
      </c>
      <c r="DI22" s="226">
        <f t="shared" si="40"/>
        <v>11.106634443270966</v>
      </c>
      <c r="DJ22" s="188">
        <f t="shared" si="41"/>
        <v>1089.4089999999999</v>
      </c>
      <c r="DK22" s="188">
        <f t="shared" si="41"/>
        <v>182.48528999999999</v>
      </c>
      <c r="DL22" s="226">
        <f t="shared" si="42"/>
        <v>16.750852067497149</v>
      </c>
      <c r="DM22" s="226">
        <f>Тор!C58</f>
        <v>1079.2149999999999</v>
      </c>
      <c r="DN22" s="226">
        <f>Тор!D58</f>
        <v>177.29129</v>
      </c>
      <c r="DO22" s="226">
        <f t="shared" si="43"/>
        <v>16.427800762591328</v>
      </c>
      <c r="DP22" s="226">
        <f>Тор!C61</f>
        <v>0</v>
      </c>
      <c r="DQ22" s="226">
        <f>Тор!D61</f>
        <v>0</v>
      </c>
      <c r="DR22" s="226" t="e">
        <f t="shared" si="44"/>
        <v>#DIV/0!</v>
      </c>
      <c r="DS22" s="226">
        <f>Тор!C62</f>
        <v>5</v>
      </c>
      <c r="DT22" s="226">
        <f>Тор!D62</f>
        <v>0</v>
      </c>
      <c r="DU22" s="226">
        <f t="shared" si="45"/>
        <v>0</v>
      </c>
      <c r="DV22" s="226">
        <f>Тор!C63</f>
        <v>5.194</v>
      </c>
      <c r="DW22" s="226">
        <f>Тор!D63</f>
        <v>5.194</v>
      </c>
      <c r="DX22" s="226">
        <f t="shared" si="46"/>
        <v>100</v>
      </c>
      <c r="DY22" s="226">
        <f>Тор!C65</f>
        <v>179.892</v>
      </c>
      <c r="DZ22" s="226">
        <f>+Тор!D64</f>
        <v>34.669980000000002</v>
      </c>
      <c r="EA22" s="226">
        <f t="shared" si="47"/>
        <v>19.2726635981589</v>
      </c>
      <c r="EB22" s="226">
        <f>Тор!C66</f>
        <v>38.99</v>
      </c>
      <c r="EC22" s="226">
        <f>Тор!D66</f>
        <v>34.79</v>
      </c>
      <c r="ED22" s="226">
        <f t="shared" si="48"/>
        <v>89.228007181328536</v>
      </c>
      <c r="EE22" s="188">
        <f>Тор!C72</f>
        <v>5083.4035700000004</v>
      </c>
      <c r="EF22" s="188">
        <f>Тор!D72</f>
        <v>328.91795000000002</v>
      </c>
      <c r="EG22" s="226">
        <f t="shared" si="49"/>
        <v>6.4704276469633113</v>
      </c>
      <c r="EH22" s="188">
        <f>Тор!C78</f>
        <v>439.7285</v>
      </c>
      <c r="EI22" s="188">
        <f>Тор!D78</f>
        <v>13</v>
      </c>
      <c r="EJ22" s="226">
        <f t="shared" si="50"/>
        <v>2.9563696690116741</v>
      </c>
      <c r="EK22" s="188">
        <f>Тор!C82</f>
        <v>1260.0999999999999</v>
      </c>
      <c r="EL22" s="229">
        <f>Тор!D82</f>
        <v>305.38799999999998</v>
      </c>
      <c r="EM22" s="226">
        <f t="shared" si="10"/>
        <v>24.235219427029602</v>
      </c>
      <c r="EN22" s="226">
        <f>Тор!C84</f>
        <v>0</v>
      </c>
      <c r="EO22" s="226">
        <f>Тор!D84</f>
        <v>0</v>
      </c>
      <c r="EP22" s="226" t="e">
        <f t="shared" si="11"/>
        <v>#DIV/0!</v>
      </c>
      <c r="EQ22" s="227">
        <f>Тор!C97</f>
        <v>5</v>
      </c>
      <c r="ER22" s="227">
        <f>Тор!D97</f>
        <v>0</v>
      </c>
      <c r="ES22" s="226">
        <f t="shared" si="51"/>
        <v>0</v>
      </c>
      <c r="ET22" s="226">
        <f>Тор!C95</f>
        <v>0</v>
      </c>
      <c r="EU22" s="226">
        <f>Тор!D95</f>
        <v>0</v>
      </c>
      <c r="EV22" s="226" t="e">
        <f t="shared" si="52"/>
        <v>#DIV/0!</v>
      </c>
      <c r="EW22" s="230">
        <f t="shared" si="12"/>
        <v>-434.22364000000107</v>
      </c>
      <c r="EX22" s="230">
        <f t="shared" si="13"/>
        <v>231.18928000000005</v>
      </c>
      <c r="EY22" s="226">
        <f t="shared" si="54"/>
        <v>-53.241983785129591</v>
      </c>
      <c r="EZ22" s="231"/>
      <c r="FA22" s="232"/>
      <c r="FC22" s="232"/>
      <c r="FF22" s="323"/>
      <c r="FG22" s="323"/>
      <c r="FH22" s="323"/>
      <c r="FI22" s="323"/>
      <c r="FJ22" s="323"/>
      <c r="FK22" s="323"/>
      <c r="FL22" s="323"/>
      <c r="FM22" s="323"/>
      <c r="FN22" s="323"/>
    </row>
    <row r="23" spans="1:170" s="169" customFormat="1" ht="15" customHeight="1">
      <c r="A23" s="181">
        <v>10</v>
      </c>
      <c r="B23" s="194" t="s">
        <v>313</v>
      </c>
      <c r="C23" s="458">
        <f t="shared" si="14"/>
        <v>5031.2496300000003</v>
      </c>
      <c r="D23" s="444">
        <f t="shared" si="0"/>
        <v>890.44380000000001</v>
      </c>
      <c r="E23" s="187">
        <f t="shared" si="1"/>
        <v>17.698263164890907</v>
      </c>
      <c r="F23" s="185">
        <f t="shared" si="2"/>
        <v>1029.2919999999999</v>
      </c>
      <c r="G23" s="185">
        <f t="shared" si="3"/>
        <v>386.91260000000005</v>
      </c>
      <c r="H23" s="187">
        <f t="shared" si="15"/>
        <v>37.590168776207342</v>
      </c>
      <c r="I23" s="195">
        <f>Хор!C6</f>
        <v>79.421999999999997</v>
      </c>
      <c r="J23" s="188">
        <f>Хор!D6</f>
        <v>4.0829399999999998</v>
      </c>
      <c r="K23" s="187">
        <f t="shared" si="16"/>
        <v>5.1408174057565912</v>
      </c>
      <c r="L23" s="187">
        <f>Хор!C8</f>
        <v>123.79</v>
      </c>
      <c r="M23" s="187">
        <f>Хор!D8</f>
        <v>42.783670000000001</v>
      </c>
      <c r="N23" s="184">
        <f t="shared" si="17"/>
        <v>34.561491235156311</v>
      </c>
      <c r="O23" s="184">
        <f>Хор!C9</f>
        <v>1.33</v>
      </c>
      <c r="P23" s="184">
        <f>Хор!D9</f>
        <v>0.29892999999999997</v>
      </c>
      <c r="Q23" s="184">
        <f t="shared" si="18"/>
        <v>22.475939849624059</v>
      </c>
      <c r="R23" s="184">
        <f>Хор!C10</f>
        <v>206.75</v>
      </c>
      <c r="S23" s="184">
        <f>Хор!D10</f>
        <v>62.729680000000002</v>
      </c>
      <c r="T23" s="184">
        <f t="shared" si="19"/>
        <v>30.340836759371221</v>
      </c>
      <c r="U23" s="184">
        <f>Хор!C11</f>
        <v>0</v>
      </c>
      <c r="V23" s="395">
        <f>Хор!D11</f>
        <v>-8.4201499999999996</v>
      </c>
      <c r="W23" s="184" t="e">
        <f t="shared" si="20"/>
        <v>#DIV/0!</v>
      </c>
      <c r="X23" s="195">
        <f>Хор!C13</f>
        <v>5</v>
      </c>
      <c r="Y23" s="195">
        <f>Хор!D13</f>
        <v>1.6605000000000001</v>
      </c>
      <c r="Z23" s="187">
        <f t="shared" si="21"/>
        <v>33.21</v>
      </c>
      <c r="AA23" s="195">
        <f>Хор!C15</f>
        <v>179</v>
      </c>
      <c r="AB23" s="394">
        <f>Хор!D15</f>
        <v>242.38261</v>
      </c>
      <c r="AC23" s="187">
        <f t="shared" si="22"/>
        <v>135.40927932960892</v>
      </c>
      <c r="AD23" s="195">
        <f>Хор!C16</f>
        <v>392</v>
      </c>
      <c r="AE23" s="195">
        <f>Хор!D16</f>
        <v>38.149839999999998</v>
      </c>
      <c r="AF23" s="187">
        <f t="shared" si="4"/>
        <v>9.7321020408163257</v>
      </c>
      <c r="AG23" s="187">
        <f>Хор!C18</f>
        <v>10</v>
      </c>
      <c r="AH23" s="187">
        <f>Хор!D18</f>
        <v>1.4</v>
      </c>
      <c r="AI23" s="187">
        <f t="shared" si="23"/>
        <v>13.999999999999998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32</v>
      </c>
      <c r="AQ23" s="433">
        <f>Хор!D27</f>
        <v>1.8445800000000001</v>
      </c>
      <c r="AR23" s="187">
        <f t="shared" si="24"/>
        <v>5.7643125</v>
      </c>
      <c r="AS23" s="188">
        <f>Хор!C28</f>
        <v>0</v>
      </c>
      <c r="AT23" s="393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>
        <f>Хор!C29</f>
        <v>0</v>
      </c>
      <c r="AZ23" s="226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6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4001.9576300000003</v>
      </c>
      <c r="CA23" s="186">
        <f t="shared" si="35"/>
        <v>503.53119999999996</v>
      </c>
      <c r="CB23" s="187">
        <f t="shared" si="53"/>
        <v>12.582122215022048</v>
      </c>
      <c r="CC23" s="187">
        <f>Хор!C39</f>
        <v>1275.4000000000001</v>
      </c>
      <c r="CD23" s="187">
        <f>Хор!D39</f>
        <v>318.84899999999999</v>
      </c>
      <c r="CE23" s="187">
        <f t="shared" si="36"/>
        <v>24.99992159322565</v>
      </c>
      <c r="CF23" s="187">
        <f>Хор!C41</f>
        <v>90</v>
      </c>
      <c r="CG23" s="187">
        <f>Хор!D41</f>
        <v>22.5</v>
      </c>
      <c r="CH23" s="187">
        <f t="shared" si="37"/>
        <v>25</v>
      </c>
      <c r="CI23" s="187">
        <f>Хор!C42</f>
        <v>1537.9304299999999</v>
      </c>
      <c r="CJ23" s="187">
        <f>Хор!D42</f>
        <v>133.76</v>
      </c>
      <c r="CK23" s="187">
        <f t="shared" si="7"/>
        <v>8.6974025216472235</v>
      </c>
      <c r="CL23" s="187">
        <f>Хор!C43</f>
        <v>92.456000000000003</v>
      </c>
      <c r="CM23" s="187">
        <f>Хор!D43</f>
        <v>22.251000000000001</v>
      </c>
      <c r="CN23" s="187">
        <f t="shared" si="8"/>
        <v>24.066583023275935</v>
      </c>
      <c r="CO23" s="187">
        <f>Хор!C44</f>
        <v>1000</v>
      </c>
      <c r="CP23" s="187">
        <f>Хор!D44</f>
        <v>0</v>
      </c>
      <c r="CQ23" s="187"/>
      <c r="CR23" s="401">
        <f>Хор!C45</f>
        <v>6.1711999999999998</v>
      </c>
      <c r="CS23" s="187">
        <f>Хор!D45</f>
        <v>6.1711999999999998</v>
      </c>
      <c r="CT23" s="187">
        <f t="shared" si="9"/>
        <v>100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88">
        <f t="shared" si="39"/>
        <v>5314.80213</v>
      </c>
      <c r="DH23" s="188">
        <f t="shared" si="39"/>
        <v>542.36919999999998</v>
      </c>
      <c r="DI23" s="187">
        <f t="shared" si="40"/>
        <v>10.204880383759459</v>
      </c>
      <c r="DJ23" s="195">
        <f t="shared" si="41"/>
        <v>992.09100000000001</v>
      </c>
      <c r="DK23" s="195">
        <f t="shared" si="41"/>
        <v>179.80775999999997</v>
      </c>
      <c r="DL23" s="187">
        <f t="shared" si="42"/>
        <v>18.124119662409999</v>
      </c>
      <c r="DM23" s="187">
        <f>Хор!C56</f>
        <v>984.4</v>
      </c>
      <c r="DN23" s="187">
        <f>Хор!D56</f>
        <v>177.11725999999999</v>
      </c>
      <c r="DO23" s="187">
        <f t="shared" si="43"/>
        <v>17.992407557903288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2.6909999999999998</v>
      </c>
      <c r="DW23" s="187">
        <f>Хор!D61</f>
        <v>2.6905000000000001</v>
      </c>
      <c r="DX23" s="187">
        <f t="shared" si="46"/>
        <v>99.981419546636957</v>
      </c>
      <c r="DY23" s="187">
        <f>Хор!C63</f>
        <v>89.944999999999993</v>
      </c>
      <c r="DZ23" s="187">
        <f>Хор!D63</f>
        <v>16.690000000000001</v>
      </c>
      <c r="EA23" s="187">
        <f t="shared" si="47"/>
        <v>18.555784090277395</v>
      </c>
      <c r="EB23" s="187">
        <f>Хор!C64</f>
        <v>6</v>
      </c>
      <c r="EC23" s="187">
        <f>Хор!D64</f>
        <v>0</v>
      </c>
      <c r="ED23" s="187">
        <f t="shared" si="48"/>
        <v>0</v>
      </c>
      <c r="EE23" s="195">
        <f>Хор!C70</f>
        <v>2148.5418299999997</v>
      </c>
      <c r="EF23" s="195">
        <f>Хор!D70</f>
        <v>106.94</v>
      </c>
      <c r="EG23" s="187">
        <f t="shared" si="49"/>
        <v>4.9773292056408325</v>
      </c>
      <c r="EH23" s="195">
        <f>Хор!C75</f>
        <v>210.52430000000001</v>
      </c>
      <c r="EI23" s="195">
        <f>Хор!D75</f>
        <v>20.931439999999998</v>
      </c>
      <c r="EJ23" s="187">
        <f t="shared" si="50"/>
        <v>9.9425291997170859</v>
      </c>
      <c r="EK23" s="195">
        <f>Хор!C79</f>
        <v>1863.7</v>
      </c>
      <c r="EL23" s="197">
        <f>Хор!D79</f>
        <v>216</v>
      </c>
      <c r="EM23" s="187">
        <f t="shared" si="10"/>
        <v>11.589848151526533</v>
      </c>
      <c r="EN23" s="187">
        <f>Хор!C81</f>
        <v>0</v>
      </c>
      <c r="EO23" s="187">
        <f>Хор!D81</f>
        <v>0</v>
      </c>
      <c r="EP23" s="187" t="e">
        <f t="shared" si="11"/>
        <v>#DIV/0!</v>
      </c>
      <c r="EQ23" s="198">
        <f>Хор!C86</f>
        <v>4</v>
      </c>
      <c r="ER23" s="198">
        <f>Хор!D86</f>
        <v>2</v>
      </c>
      <c r="ES23" s="187">
        <f t="shared" si="51"/>
        <v>50</v>
      </c>
      <c r="ET23" s="187">
        <f>Хор!C92</f>
        <v>0</v>
      </c>
      <c r="EU23" s="187">
        <f>Хор!D92</f>
        <v>0</v>
      </c>
      <c r="EV23" s="184" t="e">
        <f t="shared" si="52"/>
        <v>#DIV/0!</v>
      </c>
      <c r="EW23" s="191">
        <f t="shared" si="12"/>
        <v>-283.55249999999978</v>
      </c>
      <c r="EX23" s="191">
        <f t="shared" si="13"/>
        <v>348.07460000000003</v>
      </c>
      <c r="EY23" s="184">
        <f t="shared" si="54"/>
        <v>-122.75490429461927</v>
      </c>
      <c r="EZ23" s="192"/>
      <c r="FA23" s="193"/>
      <c r="FC23" s="193"/>
    </row>
    <row r="24" spans="1:170" s="405" customFormat="1" ht="15" customHeight="1">
      <c r="A24" s="400">
        <v>11</v>
      </c>
      <c r="B24" s="194" t="s">
        <v>314</v>
      </c>
      <c r="C24" s="459">
        <f t="shared" si="14"/>
        <v>5983.9151000000011</v>
      </c>
      <c r="D24" s="444">
        <f t="shared" si="0"/>
        <v>1166.88463</v>
      </c>
      <c r="E24" s="187">
        <f t="shared" si="1"/>
        <v>19.500354040785101</v>
      </c>
      <c r="F24" s="198">
        <f t="shared" si="2"/>
        <v>1081.296</v>
      </c>
      <c r="G24" s="198">
        <f t="shared" si="3"/>
        <v>181.91863000000001</v>
      </c>
      <c r="H24" s="187">
        <f t="shared" si="15"/>
        <v>16.824128638226721</v>
      </c>
      <c r="I24" s="195">
        <f>Чум!C6</f>
        <v>86.510999999999996</v>
      </c>
      <c r="J24" s="188">
        <f>Чум!D6</f>
        <v>19.645399999999999</v>
      </c>
      <c r="K24" s="187">
        <f t="shared" si="16"/>
        <v>22.708557293292181</v>
      </c>
      <c r="L24" s="187">
        <f>Чум!C8</f>
        <v>118.16</v>
      </c>
      <c r="M24" s="187">
        <f>Чум!D8</f>
        <v>40.838949999999997</v>
      </c>
      <c r="N24" s="187">
        <f t="shared" si="17"/>
        <v>34.562415368991196</v>
      </c>
      <c r="O24" s="187">
        <f>Чум!C9</f>
        <v>1.2649999999999999</v>
      </c>
      <c r="P24" s="187">
        <f>Чум!D9</f>
        <v>0.28534999999999999</v>
      </c>
      <c r="Q24" s="187">
        <f t="shared" si="18"/>
        <v>22.557312252964429</v>
      </c>
      <c r="R24" s="187">
        <f>Чум!C10</f>
        <v>197.36</v>
      </c>
      <c r="S24" s="187">
        <f>Чум!D10</f>
        <v>59.878340000000001</v>
      </c>
      <c r="T24" s="187">
        <f t="shared" si="19"/>
        <v>30.339653425212809</v>
      </c>
      <c r="U24" s="187">
        <f>Чум!C11</f>
        <v>0</v>
      </c>
      <c r="V24" s="401">
        <f>Чум!D11</f>
        <v>-8.0374300000000005</v>
      </c>
      <c r="W24" s="187" t="e">
        <f t="shared" si="20"/>
        <v>#DIV/0!</v>
      </c>
      <c r="X24" s="195">
        <f>Чум!C13</f>
        <v>65</v>
      </c>
      <c r="Y24" s="195">
        <f>Чум!D13</f>
        <v>20.793299999999999</v>
      </c>
      <c r="Z24" s="187">
        <f t="shared" si="21"/>
        <v>31.989692307692309</v>
      </c>
      <c r="AA24" s="195">
        <f>Чум!C15</f>
        <v>88</v>
      </c>
      <c r="AB24" s="394">
        <f>Чум!D15</f>
        <v>3.6108199999999999</v>
      </c>
      <c r="AC24" s="187">
        <f t="shared" si="22"/>
        <v>4.1032045454545454</v>
      </c>
      <c r="AD24" s="195">
        <f>Чум!C16</f>
        <v>460</v>
      </c>
      <c r="AE24" s="195">
        <f>Чум!D16</f>
        <v>40.158520000000003</v>
      </c>
      <c r="AF24" s="187">
        <f t="shared" si="4"/>
        <v>8.7301130434782621</v>
      </c>
      <c r="AG24" s="187">
        <f>Чум!C18</f>
        <v>10</v>
      </c>
      <c r="AH24" s="187">
        <f>Чум!D18</f>
        <v>1.1499999999999999</v>
      </c>
      <c r="AI24" s="187">
        <f t="shared" si="23"/>
        <v>11.5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55</v>
      </c>
      <c r="AQ24" s="433">
        <f>Чум!D27</f>
        <v>0</v>
      </c>
      <c r="AR24" s="187">
        <f t="shared" si="24"/>
        <v>0</v>
      </c>
      <c r="AS24" s="195">
        <f>Чум!C28</f>
        <v>0</v>
      </c>
      <c r="AT24" s="393">
        <f>Чум!D28</f>
        <v>0</v>
      </c>
      <c r="AU24" s="187" t="e">
        <f t="shared" si="25"/>
        <v>#DIV/0!</v>
      </c>
      <c r="AV24" s="195"/>
      <c r="AW24" s="195"/>
      <c r="AX24" s="187" t="e">
        <f t="shared" si="26"/>
        <v>#DIV/0!</v>
      </c>
      <c r="AY24" s="187">
        <f>Чум!C30</f>
        <v>0</v>
      </c>
      <c r="AZ24" s="226">
        <f>Чум!D30</f>
        <v>3.59538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6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0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4902.6191000000008</v>
      </c>
      <c r="CA24" s="195">
        <f t="shared" si="35"/>
        <v>984.96599999999989</v>
      </c>
      <c r="CB24" s="187">
        <f t="shared" si="53"/>
        <v>20.090608303631008</v>
      </c>
      <c r="CC24" s="187">
        <f>Чум!C42</f>
        <v>1969.9</v>
      </c>
      <c r="CD24" s="187">
        <f>Чум!D42</f>
        <v>492.47399999999999</v>
      </c>
      <c r="CE24" s="187">
        <f t="shared" si="36"/>
        <v>24.999949236001825</v>
      </c>
      <c r="CF24" s="187">
        <f>Чум!C43</f>
        <v>650</v>
      </c>
      <c r="CG24" s="187">
        <f>Чум!D43</f>
        <v>0</v>
      </c>
      <c r="CH24" s="187">
        <f t="shared" si="37"/>
        <v>0</v>
      </c>
      <c r="CI24" s="187">
        <f>Чум!C44</f>
        <v>1825.30438</v>
      </c>
      <c r="CJ24" s="187">
        <f>Чум!D44</f>
        <v>140.80000000000001</v>
      </c>
      <c r="CK24" s="187">
        <f t="shared" si="7"/>
        <v>7.713781961121466</v>
      </c>
      <c r="CL24" s="187">
        <f>Чум!C45</f>
        <v>92.710999999999999</v>
      </c>
      <c r="CM24" s="187">
        <f>Чум!D45</f>
        <v>22.251000000000001</v>
      </c>
      <c r="CN24" s="187">
        <f t="shared" si="8"/>
        <v>24.000388303437568</v>
      </c>
      <c r="CO24" s="187">
        <f>Чум!C46</f>
        <v>35.26285</v>
      </c>
      <c r="CP24" s="187">
        <f>Чум!D46</f>
        <v>0</v>
      </c>
      <c r="CQ24" s="187"/>
      <c r="CR24" s="401">
        <f>Чум!C50</f>
        <v>329.44087000000002</v>
      </c>
      <c r="CS24" s="187">
        <f>Чум!D50</f>
        <v>329.44099999999997</v>
      </c>
      <c r="CT24" s="187">
        <f t="shared" si="9"/>
        <v>100.00003946079912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88">
        <f t="shared" si="39"/>
        <v>6153.9986200000003</v>
      </c>
      <c r="DH24" s="188">
        <f t="shared" si="39"/>
        <v>850.38802999999996</v>
      </c>
      <c r="DI24" s="187">
        <f t="shared" si="40"/>
        <v>13.818463124712235</v>
      </c>
      <c r="DJ24" s="195">
        <f t="shared" si="41"/>
        <v>1288.2380000000001</v>
      </c>
      <c r="DK24" s="195">
        <f t="shared" si="41"/>
        <v>314.93157000000002</v>
      </c>
      <c r="DL24" s="187">
        <f t="shared" si="42"/>
        <v>24.446691527497251</v>
      </c>
      <c r="DM24" s="187">
        <f>Чум!C58</f>
        <v>1280</v>
      </c>
      <c r="DN24" s="187">
        <f>Чум!D58</f>
        <v>311.69357000000002</v>
      </c>
      <c r="DO24" s="187">
        <f t="shared" si="43"/>
        <v>24.35106015625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3.238</v>
      </c>
      <c r="DW24" s="187">
        <f>Чум!D63</f>
        <v>3.238</v>
      </c>
      <c r="DX24" s="187">
        <f t="shared" si="46"/>
        <v>100</v>
      </c>
      <c r="DY24" s="187">
        <f>Чум!C65</f>
        <v>89.945999999999998</v>
      </c>
      <c r="DZ24" s="187">
        <f>Чум!D65</f>
        <v>17.202559999999998</v>
      </c>
      <c r="EA24" s="187">
        <f t="shared" si="47"/>
        <v>19.12543081404398</v>
      </c>
      <c r="EB24" s="187">
        <f>Чум!C66</f>
        <v>6</v>
      </c>
      <c r="EC24" s="187">
        <f>Чум!D66</f>
        <v>0.6</v>
      </c>
      <c r="ED24" s="187">
        <f t="shared" si="48"/>
        <v>10</v>
      </c>
      <c r="EE24" s="195">
        <f>Чум!C72</f>
        <v>2540.0608400000001</v>
      </c>
      <c r="EF24" s="195">
        <f>Чум!D72</f>
        <v>207.53989999999999</v>
      </c>
      <c r="EG24" s="187">
        <f t="shared" si="49"/>
        <v>8.1706664947442746</v>
      </c>
      <c r="EH24" s="195">
        <f>Чум!C77</f>
        <v>612.35378000000003</v>
      </c>
      <c r="EI24" s="195">
        <f>Чум!D77</f>
        <v>69.713999999999999</v>
      </c>
      <c r="EJ24" s="187">
        <f t="shared" si="50"/>
        <v>11.384595355972163</v>
      </c>
      <c r="EK24" s="195">
        <f>Чум!C81</f>
        <v>1615.4</v>
      </c>
      <c r="EL24" s="197">
        <f>Чум!D81</f>
        <v>239.4</v>
      </c>
      <c r="EM24" s="187">
        <f t="shared" si="10"/>
        <v>14.819858858487061</v>
      </c>
      <c r="EN24" s="187">
        <f>Чум!C83</f>
        <v>0</v>
      </c>
      <c r="EO24" s="187">
        <f>Чум!D83</f>
        <v>0</v>
      </c>
      <c r="EP24" s="187" t="e">
        <f t="shared" si="11"/>
        <v>#DIV/0!</v>
      </c>
      <c r="EQ24" s="198">
        <f>Чум!C88</f>
        <v>2</v>
      </c>
      <c r="ER24" s="198">
        <f>Чум!D88</f>
        <v>1</v>
      </c>
      <c r="ES24" s="187">
        <f t="shared" si="51"/>
        <v>50</v>
      </c>
      <c r="ET24" s="187">
        <f>Чум!C94</f>
        <v>0</v>
      </c>
      <c r="EU24" s="187">
        <f>Чум!D94</f>
        <v>0</v>
      </c>
      <c r="EV24" s="187" t="e">
        <f t="shared" si="52"/>
        <v>#DIV/0!</v>
      </c>
      <c r="EW24" s="402">
        <f t="shared" si="12"/>
        <v>-170.08351999999923</v>
      </c>
      <c r="EX24" s="402">
        <f t="shared" si="13"/>
        <v>316.49660000000006</v>
      </c>
      <c r="EY24" s="187">
        <f t="shared" si="54"/>
        <v>-186.08304908082894</v>
      </c>
      <c r="EZ24" s="403"/>
      <c r="FA24" s="404"/>
      <c r="FC24" s="404"/>
    </row>
    <row r="25" spans="1:170" s="233" customFormat="1" ht="15" customHeight="1">
      <c r="A25" s="224">
        <v>12</v>
      </c>
      <c r="B25" s="225" t="s">
        <v>315</v>
      </c>
      <c r="C25" s="460">
        <f t="shared" si="14"/>
        <v>3894.6331199999995</v>
      </c>
      <c r="D25" s="445">
        <f t="shared" si="0"/>
        <v>742.77386999999999</v>
      </c>
      <c r="E25" s="226">
        <f t="shared" si="1"/>
        <v>19.071728892399502</v>
      </c>
      <c r="F25" s="227">
        <f t="shared" si="2"/>
        <v>833.452</v>
      </c>
      <c r="G25" s="227">
        <f t="shared" si="3"/>
        <v>224.03586999999999</v>
      </c>
      <c r="H25" s="226">
        <f t="shared" si="15"/>
        <v>26.88047662012929</v>
      </c>
      <c r="I25" s="188">
        <f>Шать!C6</f>
        <v>37.046999999999997</v>
      </c>
      <c r="J25" s="188">
        <f>Шать!D6</f>
        <v>7.9203799999999998</v>
      </c>
      <c r="K25" s="226">
        <f t="shared" si="16"/>
        <v>21.379274975031716</v>
      </c>
      <c r="L25" s="226">
        <f>Шать!C8</f>
        <v>121.37</v>
      </c>
      <c r="M25" s="226">
        <f>Шать!D8</f>
        <v>41.950220000000002</v>
      </c>
      <c r="N25" s="226">
        <f t="shared" si="17"/>
        <v>34.563912004613989</v>
      </c>
      <c r="O25" s="226">
        <f>Шать!C9</f>
        <v>1.3049999999999999</v>
      </c>
      <c r="P25" s="226">
        <f>Шать!D9</f>
        <v>0.29310000000000003</v>
      </c>
      <c r="Q25" s="226">
        <f t="shared" si="18"/>
        <v>22.459770114942533</v>
      </c>
      <c r="R25" s="226">
        <f>Шать!C10</f>
        <v>202.73</v>
      </c>
      <c r="S25" s="226">
        <f>Шать!D10</f>
        <v>61.507689999999997</v>
      </c>
      <c r="T25" s="226">
        <f t="shared" si="19"/>
        <v>30.339707985991222</v>
      </c>
      <c r="U25" s="226">
        <f>Шать!C11</f>
        <v>0</v>
      </c>
      <c r="V25" s="396">
        <f>Шать!D11</f>
        <v>-8.2561199999999992</v>
      </c>
      <c r="W25" s="226" t="e">
        <f t="shared" si="20"/>
        <v>#DIV/0!</v>
      </c>
      <c r="X25" s="188">
        <f>Шать!C13</f>
        <v>10</v>
      </c>
      <c r="Y25" s="188">
        <f>Шать!D13</f>
        <v>41.775889999999997</v>
      </c>
      <c r="Z25" s="226">
        <f t="shared" si="21"/>
        <v>417.75889999999993</v>
      </c>
      <c r="AA25" s="188">
        <f>Шать!C15</f>
        <v>42</v>
      </c>
      <c r="AB25" s="394">
        <f>Шать!D15</f>
        <v>1.1193200000000001</v>
      </c>
      <c r="AC25" s="226">
        <f t="shared" si="22"/>
        <v>2.6650476190476193</v>
      </c>
      <c r="AD25" s="188">
        <f>Шать!C16</f>
        <v>305</v>
      </c>
      <c r="AE25" s="188">
        <f>Шать!D16</f>
        <v>12.895670000000001</v>
      </c>
      <c r="AF25" s="226">
        <f t="shared" si="4"/>
        <v>4.2280885245901647</v>
      </c>
      <c r="AG25" s="226">
        <f>Шать!C18</f>
        <v>5</v>
      </c>
      <c r="AH25" s="226">
        <f>Шать!D18</f>
        <v>1.55</v>
      </c>
      <c r="AI25" s="226">
        <f t="shared" si="23"/>
        <v>31</v>
      </c>
      <c r="AJ25" s="226"/>
      <c r="AK25" s="226"/>
      <c r="AL25" s="226" t="e">
        <f>AJ25/AK25*100</f>
        <v>#DIV/0!</v>
      </c>
      <c r="AM25" s="188">
        <v>0</v>
      </c>
      <c r="AN25" s="188">
        <f>0</f>
        <v>0</v>
      </c>
      <c r="AO25" s="226" t="e">
        <f t="shared" si="6"/>
        <v>#DIV/0!</v>
      </c>
      <c r="AP25" s="188">
        <f>Шать!C27</f>
        <v>62</v>
      </c>
      <c r="AQ25" s="433">
        <f>Шать!D27</f>
        <v>51.997799999999998</v>
      </c>
      <c r="AR25" s="226">
        <f t="shared" si="24"/>
        <v>83.867419354838702</v>
      </c>
      <c r="AS25" s="188">
        <f>Шать!C28</f>
        <v>17</v>
      </c>
      <c r="AT25" s="394">
        <f>Шать!D28</f>
        <v>6.5027999999999997</v>
      </c>
      <c r="AU25" s="226">
        <f t="shared" si="25"/>
        <v>38.251764705882351</v>
      </c>
      <c r="AV25" s="188"/>
      <c r="AW25" s="188"/>
      <c r="AX25" s="226" t="e">
        <f t="shared" si="26"/>
        <v>#DIV/0!</v>
      </c>
      <c r="AY25" s="226">
        <f>Шать!C29</f>
        <v>30</v>
      </c>
      <c r="AZ25" s="226">
        <f>Шать!D29</f>
        <v>4.7791199999999998</v>
      </c>
      <c r="BA25" s="226">
        <f t="shared" si="27"/>
        <v>15.930400000000001</v>
      </c>
      <c r="BB25" s="226"/>
      <c r="BC25" s="226"/>
      <c r="BD25" s="226"/>
      <c r="BE25" s="226">
        <f>Шать!C33</f>
        <v>0</v>
      </c>
      <c r="BF25" s="226">
        <f>Шать!D33</f>
        <v>0</v>
      </c>
      <c r="BG25" s="226" t="e">
        <f t="shared" si="28"/>
        <v>#DIV/0!</v>
      </c>
      <c r="BH25" s="226"/>
      <c r="BI25" s="226"/>
      <c r="BJ25" s="226" t="e">
        <f t="shared" si="29"/>
        <v>#DIV/0!</v>
      </c>
      <c r="BK25" s="226"/>
      <c r="BL25" s="226"/>
      <c r="BM25" s="226"/>
      <c r="BN25" s="226">
        <f>Шать!C34</f>
        <v>0</v>
      </c>
      <c r="BO25" s="357">
        <f>Шать!D34</f>
        <v>0</v>
      </c>
      <c r="BP25" s="226" t="e">
        <f t="shared" si="30"/>
        <v>#DIV/0!</v>
      </c>
      <c r="BQ25" s="226">
        <f>Шать!C37</f>
        <v>0</v>
      </c>
      <c r="BR25" s="226">
        <f>Шать!D39</f>
        <v>0</v>
      </c>
      <c r="BS25" s="226" t="e">
        <f t="shared" si="31"/>
        <v>#DIV/0!</v>
      </c>
      <c r="BT25" s="226"/>
      <c r="BU25" s="226"/>
      <c r="BV25" s="228" t="e">
        <f t="shared" si="32"/>
        <v>#DIV/0!</v>
      </c>
      <c r="BW25" s="228"/>
      <c r="BX25" s="228"/>
      <c r="BY25" s="228" t="e">
        <f t="shared" si="33"/>
        <v>#DIV/0!</v>
      </c>
      <c r="BZ25" s="188">
        <f t="shared" si="34"/>
        <v>3061.1811199999997</v>
      </c>
      <c r="CA25" s="186">
        <f t="shared" si="35"/>
        <v>518.73800000000006</v>
      </c>
      <c r="CB25" s="226">
        <f t="shared" si="53"/>
        <v>16.945681410709867</v>
      </c>
      <c r="CC25" s="226">
        <f>Шать!C42</f>
        <v>1347.9</v>
      </c>
      <c r="CD25" s="226">
        <f>Шать!D42</f>
        <v>336.97500000000002</v>
      </c>
      <c r="CE25" s="226">
        <f t="shared" si="36"/>
        <v>25</v>
      </c>
      <c r="CF25" s="226">
        <f>Шать!C43</f>
        <v>290</v>
      </c>
      <c r="CG25" s="226">
        <f>Шать!D43</f>
        <v>72.5</v>
      </c>
      <c r="CH25" s="226">
        <f t="shared" si="37"/>
        <v>25</v>
      </c>
      <c r="CI25" s="226">
        <f>Шать!C44</f>
        <v>1213.53934</v>
      </c>
      <c r="CJ25" s="226">
        <f>Шать!D44</f>
        <v>87.012</v>
      </c>
      <c r="CK25" s="226">
        <f t="shared" si="7"/>
        <v>7.1701013005478664</v>
      </c>
      <c r="CL25" s="226">
        <f>Шать!C45</f>
        <v>91.480999999999995</v>
      </c>
      <c r="CM25" s="226">
        <f>Шать!D45</f>
        <v>22.251000000000001</v>
      </c>
      <c r="CN25" s="226">
        <f t="shared" si="8"/>
        <v>24.3230834818159</v>
      </c>
      <c r="CO25" s="226">
        <f>Шать!C46</f>
        <v>0</v>
      </c>
      <c r="CP25" s="226">
        <f>Шать!D46</f>
        <v>0</v>
      </c>
      <c r="CQ25" s="226"/>
      <c r="CR25" s="396">
        <f>Шать!C50</f>
        <v>118.26078</v>
      </c>
      <c r="CS25" s="226">
        <f>Шать!D50</f>
        <v>0</v>
      </c>
      <c r="CT25" s="226">
        <f t="shared" si="9"/>
        <v>0</v>
      </c>
      <c r="CU25" s="226"/>
      <c r="CV25" s="226"/>
      <c r="CW25" s="226"/>
      <c r="CX25" s="188"/>
      <c r="CY25" s="188"/>
      <c r="CZ25" s="226" t="e">
        <f t="shared" si="38"/>
        <v>#DIV/0!</v>
      </c>
      <c r="DA25" s="226"/>
      <c r="DB25" s="226"/>
      <c r="DC25" s="226"/>
      <c r="DD25" s="226"/>
      <c r="DE25" s="226"/>
      <c r="DF25" s="226"/>
      <c r="DG25" s="188">
        <f t="shared" si="39"/>
        <v>4064.7824900000001</v>
      </c>
      <c r="DH25" s="188">
        <f t="shared" si="39"/>
        <v>566.80169000000001</v>
      </c>
      <c r="DI25" s="226">
        <f>DH25/DG25*100</f>
        <v>13.944207135176869</v>
      </c>
      <c r="DJ25" s="188">
        <f t="shared" si="41"/>
        <v>1086.1780000000001</v>
      </c>
      <c r="DK25" s="188">
        <f t="shared" si="41"/>
        <v>180.64268000000001</v>
      </c>
      <c r="DL25" s="226">
        <f t="shared" si="42"/>
        <v>16.631038374925655</v>
      </c>
      <c r="DM25" s="226">
        <f>Шать!C58</f>
        <v>1078.4780000000001</v>
      </c>
      <c r="DN25" s="226">
        <f>Шать!D58</f>
        <v>178.06468000000001</v>
      </c>
      <c r="DO25" s="226">
        <f t="shared" si="43"/>
        <v>16.510738281170315</v>
      </c>
      <c r="DP25" s="226">
        <f>Шать!C61</f>
        <v>0</v>
      </c>
      <c r="DQ25" s="226">
        <f>Шать!D61</f>
        <v>0</v>
      </c>
      <c r="DR25" s="226" t="e">
        <f t="shared" si="44"/>
        <v>#DIV/0!</v>
      </c>
      <c r="DS25" s="226">
        <f>Шать!C62</f>
        <v>5</v>
      </c>
      <c r="DT25" s="226">
        <f>Шать!D62</f>
        <v>0</v>
      </c>
      <c r="DU25" s="226">
        <f t="shared" si="45"/>
        <v>0</v>
      </c>
      <c r="DV25" s="226">
        <f>Шать!C63</f>
        <v>2.7</v>
      </c>
      <c r="DW25" s="226">
        <f>Шать!D63</f>
        <v>2.5779999999999998</v>
      </c>
      <c r="DX25" s="226">
        <f t="shared" si="46"/>
        <v>95.481481481481467</v>
      </c>
      <c r="DY25" s="226">
        <f>Шать!C65</f>
        <v>89.944999999999993</v>
      </c>
      <c r="DZ25" s="226">
        <f>Шать!D65</f>
        <v>17.272020000000001</v>
      </c>
      <c r="EA25" s="226">
        <f t="shared" si="47"/>
        <v>19.202868419589752</v>
      </c>
      <c r="EB25" s="226">
        <f>Шать!C66</f>
        <v>8</v>
      </c>
      <c r="EC25" s="226">
        <f>Шать!D66</f>
        <v>0</v>
      </c>
      <c r="ED25" s="226">
        <f t="shared" si="48"/>
        <v>0</v>
      </c>
      <c r="EE25" s="188">
        <f>Шать!C72</f>
        <v>1767.7594900000001</v>
      </c>
      <c r="EF25" s="188">
        <f>Шать!D72</f>
        <v>127.13809999999999</v>
      </c>
      <c r="EG25" s="226">
        <f t="shared" si="49"/>
        <v>7.192047375177717</v>
      </c>
      <c r="EH25" s="188">
        <f>Шать!C77</f>
        <v>310.5</v>
      </c>
      <c r="EI25" s="188">
        <f>Шать!D77</f>
        <v>38.348889999999997</v>
      </c>
      <c r="EJ25" s="226">
        <f t="shared" si="50"/>
        <v>12.35068921095008</v>
      </c>
      <c r="EK25" s="188">
        <f>Шать!C81</f>
        <v>801.4</v>
      </c>
      <c r="EL25" s="229">
        <f>Шать!D81</f>
        <v>203.4</v>
      </c>
      <c r="EM25" s="226">
        <f t="shared" si="10"/>
        <v>25.380583978038434</v>
      </c>
      <c r="EN25" s="226">
        <f>Шать!C83</f>
        <v>0</v>
      </c>
      <c r="EO25" s="226">
        <f>Шать!D83</f>
        <v>0</v>
      </c>
      <c r="EP25" s="226" t="e">
        <f t="shared" si="11"/>
        <v>#DIV/0!</v>
      </c>
      <c r="EQ25" s="227">
        <f>Шать!C88</f>
        <v>1</v>
      </c>
      <c r="ER25" s="227">
        <f>Шать!D88</f>
        <v>0</v>
      </c>
      <c r="ES25" s="226">
        <f t="shared" si="51"/>
        <v>0</v>
      </c>
      <c r="ET25" s="226">
        <f>Шать!C94</f>
        <v>0</v>
      </c>
      <c r="EU25" s="226">
        <f>Шать!D94</f>
        <v>0</v>
      </c>
      <c r="EV25" s="226" t="e">
        <f t="shared" si="52"/>
        <v>#DIV/0!</v>
      </c>
      <c r="EW25" s="230">
        <f t="shared" si="12"/>
        <v>-170.14937000000054</v>
      </c>
      <c r="EX25" s="230">
        <f t="shared" si="13"/>
        <v>175.97217999999998</v>
      </c>
      <c r="EY25" s="226">
        <f t="shared" si="54"/>
        <v>-103.42217546853063</v>
      </c>
      <c r="EZ25" s="231"/>
      <c r="FA25" s="232"/>
      <c r="FC25" s="232"/>
    </row>
    <row r="26" spans="1:170" s="405" customFormat="1" ht="15" customHeight="1">
      <c r="A26" s="406">
        <v>13</v>
      </c>
      <c r="B26" s="194" t="s">
        <v>316</v>
      </c>
      <c r="C26" s="459">
        <f t="shared" si="14"/>
        <v>5774.0306199999995</v>
      </c>
      <c r="D26" s="444">
        <f t="shared" si="0"/>
        <v>923.19872999999995</v>
      </c>
      <c r="E26" s="187">
        <f t="shared" si="1"/>
        <v>15.988809044452209</v>
      </c>
      <c r="F26" s="198">
        <f t="shared" si="2"/>
        <v>2888.6920000000005</v>
      </c>
      <c r="G26" s="198">
        <f t="shared" si="3"/>
        <v>506.37672999999995</v>
      </c>
      <c r="H26" s="187">
        <f t="shared" si="15"/>
        <v>17.529619980254036</v>
      </c>
      <c r="I26" s="195">
        <f>Юнг!C6</f>
        <v>132.63200000000001</v>
      </c>
      <c r="J26" s="188">
        <f>Юнг!D6</f>
        <v>24.145299999999999</v>
      </c>
      <c r="K26" s="187">
        <f t="shared" si="16"/>
        <v>18.204731889740032</v>
      </c>
      <c r="L26" s="187">
        <f>Юнг!C8</f>
        <v>186.49</v>
      </c>
      <c r="M26" s="187">
        <f>Юнг!D8</f>
        <v>64.453320000000005</v>
      </c>
      <c r="N26" s="187">
        <f t="shared" si="17"/>
        <v>34.561274062952442</v>
      </c>
      <c r="O26" s="187">
        <f>Юнг!C9</f>
        <v>2</v>
      </c>
      <c r="P26" s="187">
        <f>Юнг!D9</f>
        <v>0.45034000000000002</v>
      </c>
      <c r="Q26" s="187">
        <f t="shared" si="18"/>
        <v>22.516999999999999</v>
      </c>
      <c r="R26" s="187">
        <f>Юнг!C10</f>
        <v>311.47000000000003</v>
      </c>
      <c r="S26" s="187">
        <f>Юнг!D10</f>
        <v>94.501869999999997</v>
      </c>
      <c r="T26" s="187">
        <f t="shared" si="19"/>
        <v>30.340601020965096</v>
      </c>
      <c r="U26" s="187">
        <f>Юнг!C11</f>
        <v>0</v>
      </c>
      <c r="V26" s="401">
        <f>Юнг!D11</f>
        <v>-12.684900000000001</v>
      </c>
      <c r="W26" s="187" t="e">
        <f t="shared" si="20"/>
        <v>#DIV/0!</v>
      </c>
      <c r="X26" s="195">
        <f>Юнг!C13</f>
        <v>40</v>
      </c>
      <c r="Y26" s="195">
        <f>Юнг!D13</f>
        <v>9.3018000000000001</v>
      </c>
      <c r="Z26" s="187">
        <f t="shared" si="21"/>
        <v>23.2545</v>
      </c>
      <c r="AA26" s="195">
        <f>Юнг!C15</f>
        <v>229</v>
      </c>
      <c r="AB26" s="394">
        <f>Юнг!D15</f>
        <v>9.0194899999999993</v>
      </c>
      <c r="AC26" s="187">
        <f t="shared" si="22"/>
        <v>3.9386419213973798</v>
      </c>
      <c r="AD26" s="195">
        <f>Юнг!C16</f>
        <v>1700</v>
      </c>
      <c r="AE26" s="195">
        <f>Юнг!D16</f>
        <v>264.17435</v>
      </c>
      <c r="AF26" s="187">
        <f t="shared" si="4"/>
        <v>15.539667647058824</v>
      </c>
      <c r="AG26" s="187">
        <f>Юнг!C18</f>
        <v>12</v>
      </c>
      <c r="AH26" s="187">
        <f>Юнг!D18</f>
        <v>3</v>
      </c>
      <c r="AI26" s="187">
        <f t="shared" si="23"/>
        <v>25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224.4</v>
      </c>
      <c r="AQ26" s="433">
        <f>Юнг!D27</f>
        <v>4.4740000000000002</v>
      </c>
      <c r="AR26" s="187">
        <f t="shared" si="24"/>
        <v>1.9937611408199645</v>
      </c>
      <c r="AS26" s="195">
        <f>Юнг!C28</f>
        <v>50.7</v>
      </c>
      <c r="AT26" s="393">
        <f>Юнг!D28</f>
        <v>26.934249999999999</v>
      </c>
      <c r="AU26" s="187">
        <f t="shared" si="25"/>
        <v>53.124753451676519</v>
      </c>
      <c r="AV26" s="195"/>
      <c r="AW26" s="195"/>
      <c r="AX26" s="187" t="e">
        <f t="shared" si="26"/>
        <v>#DIV/0!</v>
      </c>
      <c r="AY26" s="187">
        <f>Юнг!C30</f>
        <v>0</v>
      </c>
      <c r="AZ26" s="226">
        <f>Юнг!D30</f>
        <v>18.606909999999999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Юнг!D31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6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2885.3386199999995</v>
      </c>
      <c r="CA26" s="195">
        <f t="shared" si="35"/>
        <v>416.822</v>
      </c>
      <c r="CB26" s="187">
        <f t="shared" si="53"/>
        <v>14.446207357110829</v>
      </c>
      <c r="CC26" s="187">
        <f>Юнг!C41</f>
        <v>767.8</v>
      </c>
      <c r="CD26" s="187">
        <f>Юнг!D41</f>
        <v>191.94900000000001</v>
      </c>
      <c r="CE26" s="187">
        <f t="shared" si="36"/>
        <v>24.999869757749419</v>
      </c>
      <c r="CF26" s="187">
        <f>Юнг!C42</f>
        <v>170</v>
      </c>
      <c r="CG26" s="187">
        <f>Юнг!D42</f>
        <v>0</v>
      </c>
      <c r="CH26" s="187">
        <f t="shared" si="37"/>
        <v>0</v>
      </c>
      <c r="CI26" s="187">
        <f>Юнг!C43</f>
        <v>1855.8026199999999</v>
      </c>
      <c r="CJ26" s="187">
        <f>Юнг!D43</f>
        <v>202.62200000000001</v>
      </c>
      <c r="CK26" s="187">
        <f t="shared" si="7"/>
        <v>10.918294748393018</v>
      </c>
      <c r="CL26" s="187">
        <f>Юнг!C44</f>
        <v>91.736000000000004</v>
      </c>
      <c r="CM26" s="187">
        <f>Юнг!D44</f>
        <v>22.251000000000001</v>
      </c>
      <c r="CN26" s="187">
        <f t="shared" si="8"/>
        <v>24.255472224644635</v>
      </c>
      <c r="CO26" s="187">
        <f>Юнг!C45</f>
        <v>0</v>
      </c>
      <c r="CP26" s="187">
        <f>Юнг!D45</f>
        <v>0</v>
      </c>
      <c r="CQ26" s="187"/>
      <c r="CR26" s="401">
        <f>Юнг!C48</f>
        <v>0</v>
      </c>
      <c r="CS26" s="187">
        <f>Юнг!D48</f>
        <v>0</v>
      </c>
      <c r="CT26" s="187" t="e">
        <f t="shared" si="9"/>
        <v>#DIV/0!</v>
      </c>
      <c r="CU26" s="187"/>
      <c r="CV26" s="187">
        <f>Юнг!D47</f>
        <v>0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88">
        <f t="shared" si="39"/>
        <v>5956.9311399999988</v>
      </c>
      <c r="DH26" s="188">
        <f t="shared" si="39"/>
        <v>895.88731999999993</v>
      </c>
      <c r="DI26" s="187">
        <f t="shared" si="40"/>
        <v>15.039410376665863</v>
      </c>
      <c r="DJ26" s="195">
        <f t="shared" si="41"/>
        <v>1434.2819999999999</v>
      </c>
      <c r="DK26" s="195">
        <f t="shared" si="41"/>
        <v>283.10299000000003</v>
      </c>
      <c r="DL26" s="187">
        <f t="shared" si="42"/>
        <v>19.738307390039061</v>
      </c>
      <c r="DM26" s="187">
        <f>Юнг!C57</f>
        <v>1425.6</v>
      </c>
      <c r="DN26" s="187">
        <f>Юнг!D57</f>
        <v>279.42099000000002</v>
      </c>
      <c r="DO26" s="187">
        <f t="shared" si="43"/>
        <v>19.600237794612795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3.6819999999999999</v>
      </c>
      <c r="DW26" s="187">
        <f>Юнг!D62</f>
        <v>3.6819999999999999</v>
      </c>
      <c r="DX26" s="187">
        <f t="shared" si="46"/>
        <v>100</v>
      </c>
      <c r="DY26" s="187">
        <f>Юнг!C64</f>
        <v>89.945999999999998</v>
      </c>
      <c r="DZ26" s="187">
        <f>Юнг!D64</f>
        <v>16.686579999999999</v>
      </c>
      <c r="EA26" s="187">
        <f t="shared" si="47"/>
        <v>18.551775509750293</v>
      </c>
      <c r="EB26" s="187">
        <f>Юнг!C65</f>
        <v>19.715</v>
      </c>
      <c r="EC26" s="187">
        <f>Юнг!D65</f>
        <v>1.5</v>
      </c>
      <c r="ED26" s="187">
        <f t="shared" si="48"/>
        <v>7.6084199847831604</v>
      </c>
      <c r="EE26" s="195">
        <f>Юнг!C71</f>
        <v>2999.12104</v>
      </c>
      <c r="EF26" s="195">
        <f>Юнг!D71</f>
        <v>312.76402000000002</v>
      </c>
      <c r="EG26" s="187">
        <f t="shared" si="49"/>
        <v>10.428522751452538</v>
      </c>
      <c r="EH26" s="195">
        <f>Юнг!C76</f>
        <v>370.6671</v>
      </c>
      <c r="EI26" s="195">
        <f>Юнг!D76</f>
        <v>17.763729999999999</v>
      </c>
      <c r="EJ26" s="187">
        <f t="shared" si="50"/>
        <v>4.7923675988508281</v>
      </c>
      <c r="EK26" s="195">
        <f>Юнг!C80</f>
        <v>1028.2</v>
      </c>
      <c r="EL26" s="197">
        <f>Юнг!D80</f>
        <v>255.77699999999999</v>
      </c>
      <c r="EM26" s="187">
        <f t="shared" si="10"/>
        <v>24.876191402450885</v>
      </c>
      <c r="EN26" s="187">
        <f>Юнг!C82</f>
        <v>0</v>
      </c>
      <c r="EO26" s="187">
        <f>Юнг!D82</f>
        <v>0</v>
      </c>
      <c r="EP26" s="187" t="e">
        <f t="shared" si="11"/>
        <v>#DIV/0!</v>
      </c>
      <c r="EQ26" s="198">
        <f>Юнг!C87</f>
        <v>15</v>
      </c>
      <c r="ER26" s="198">
        <f>Юнг!D87</f>
        <v>8.2929999999999993</v>
      </c>
      <c r="ES26" s="187">
        <f t="shared" si="51"/>
        <v>55.286666666666662</v>
      </c>
      <c r="ET26" s="187">
        <f>Юнг!C93</f>
        <v>0</v>
      </c>
      <c r="EU26" s="187">
        <f>Юнг!D93</f>
        <v>0</v>
      </c>
      <c r="EV26" s="187" t="e">
        <f t="shared" si="52"/>
        <v>#DIV/0!</v>
      </c>
      <c r="EW26" s="402">
        <f t="shared" si="12"/>
        <v>-182.90051999999923</v>
      </c>
      <c r="EX26" s="402">
        <f t="shared" si="13"/>
        <v>27.311410000000024</v>
      </c>
      <c r="EY26" s="187">
        <f t="shared" si="54"/>
        <v>-14.932385102021655</v>
      </c>
      <c r="EZ26" s="403"/>
      <c r="FA26" s="404"/>
      <c r="FC26" s="404"/>
    </row>
    <row r="27" spans="1:170" s="169" customFormat="1" ht="15" customHeight="1">
      <c r="A27" s="181">
        <v>14</v>
      </c>
      <c r="B27" s="194" t="s">
        <v>317</v>
      </c>
      <c r="C27" s="458">
        <f t="shared" si="14"/>
        <v>7298.5956400000005</v>
      </c>
      <c r="D27" s="444">
        <f t="shared" si="0"/>
        <v>1320.1443899999999</v>
      </c>
      <c r="E27" s="187">
        <f t="shared" si="1"/>
        <v>18.087649393329041</v>
      </c>
      <c r="F27" s="185">
        <f>I27+X27+AA27+AD27+AG27+AM27+AS27+BE27+BQ27+BN27+AJ27+AY27+L27+R27+O27+U27+AP27</f>
        <v>1522.8040000000001</v>
      </c>
      <c r="G27" s="185">
        <f t="shared" si="3"/>
        <v>345.91438999999997</v>
      </c>
      <c r="H27" s="187">
        <f t="shared" si="15"/>
        <v>22.715621314364814</v>
      </c>
      <c r="I27" s="195">
        <f>Юсь!C6</f>
        <v>132.44399999999999</v>
      </c>
      <c r="J27" s="188">
        <f>Юсь!D6</f>
        <v>19.199529999999999</v>
      </c>
      <c r="K27" s="187">
        <f t="shared" si="16"/>
        <v>14.496338074959983</v>
      </c>
      <c r="L27" s="187">
        <f>Юсь!C8</f>
        <v>250.79</v>
      </c>
      <c r="M27" s="187">
        <f>Юсь!D8</f>
        <v>86.678600000000003</v>
      </c>
      <c r="N27" s="184">
        <f t="shared" si="17"/>
        <v>34.56222337413773</v>
      </c>
      <c r="O27" s="184">
        <f>Юсь!C9</f>
        <v>2.69</v>
      </c>
      <c r="P27" s="184">
        <f>Юсь!D9</f>
        <v>0.60563</v>
      </c>
      <c r="Q27" s="184">
        <f t="shared" si="18"/>
        <v>22.514126394052045</v>
      </c>
      <c r="R27" s="184">
        <f>Юсь!C10</f>
        <v>418.88</v>
      </c>
      <c r="S27" s="184">
        <f>Юсь!D10</f>
        <v>127.08872</v>
      </c>
      <c r="T27" s="184">
        <f t="shared" si="19"/>
        <v>30.340126050420167</v>
      </c>
      <c r="U27" s="184">
        <f>Юсь!C11</f>
        <v>0</v>
      </c>
      <c r="V27" s="395">
        <f>Юсь!D11</f>
        <v>-17.059010000000001</v>
      </c>
      <c r="W27" s="184" t="e">
        <f t="shared" si="20"/>
        <v>#DIV/0!</v>
      </c>
      <c r="X27" s="195">
        <f>Юсь!C13</f>
        <v>10</v>
      </c>
      <c r="Y27" s="195">
        <f>Юсь!D13</f>
        <v>0.16428000000000001</v>
      </c>
      <c r="Z27" s="187">
        <f t="shared" si="21"/>
        <v>1.6428000000000003</v>
      </c>
      <c r="AA27" s="195">
        <f>Юсь!C15</f>
        <v>128</v>
      </c>
      <c r="AB27" s="394">
        <f>Юсь!D15</f>
        <v>4.2445500000000003</v>
      </c>
      <c r="AC27" s="187">
        <f t="shared" si="22"/>
        <v>3.3160546875000003</v>
      </c>
      <c r="AD27" s="195">
        <f>Юсь!C16</f>
        <v>325</v>
      </c>
      <c r="AE27" s="195">
        <f>Юсь!D16</f>
        <v>12.59254</v>
      </c>
      <c r="AF27" s="187">
        <f t="shared" si="4"/>
        <v>3.8746276923076923</v>
      </c>
      <c r="AG27" s="187">
        <f>Юсь!C18</f>
        <v>5</v>
      </c>
      <c r="AH27" s="187">
        <f>Юсь!D18</f>
        <v>1.6</v>
      </c>
      <c r="AI27" s="187">
        <f t="shared" si="23"/>
        <v>32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433">
        <f>Юсь!D27</f>
        <v>0</v>
      </c>
      <c r="AR27" s="187" t="e">
        <f t="shared" si="24"/>
        <v>#DIV/0!</v>
      </c>
      <c r="AS27" s="188">
        <f>Юсь!C28</f>
        <v>50</v>
      </c>
      <c r="AT27" s="393">
        <f>Юсь!D28</f>
        <v>6</v>
      </c>
      <c r="AU27" s="187">
        <f t="shared" si="25"/>
        <v>12</v>
      </c>
      <c r="AV27" s="195"/>
      <c r="AW27" s="195"/>
      <c r="AX27" s="187" t="e">
        <f t="shared" si="26"/>
        <v>#DIV/0!</v>
      </c>
      <c r="AY27" s="187">
        <f>Юсь!C30</f>
        <v>200</v>
      </c>
      <c r="AZ27" s="226">
        <f>Юсь!D30</f>
        <v>104.79955</v>
      </c>
      <c r="BA27" s="187">
        <f t="shared" si="27"/>
        <v>52.399774999999991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6"/>
      <c r="BP27" s="187" t="e">
        <f t="shared" si="30"/>
        <v>#DIV/0!</v>
      </c>
      <c r="BQ27" s="187">
        <f>Юсь!C34</f>
        <v>0</v>
      </c>
      <c r="BR27" s="187">
        <f>Юсь!D34</f>
        <v>0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5775.7916400000004</v>
      </c>
      <c r="CA27" s="186">
        <f t="shared" si="35"/>
        <v>974.23</v>
      </c>
      <c r="CB27" s="187">
        <f t="shared" si="53"/>
        <v>16.867471348048834</v>
      </c>
      <c r="CC27" s="187">
        <f>Юсь!C39</f>
        <v>3029</v>
      </c>
      <c r="CD27" s="187">
        <f>Юсь!D39</f>
        <v>757.25099999999998</v>
      </c>
      <c r="CE27" s="187">
        <f t="shared" si="36"/>
        <v>25.000033014196106</v>
      </c>
      <c r="CF27" s="356">
        <f>Юсь!C41</f>
        <v>687.5</v>
      </c>
      <c r="CG27" s="187">
        <f>Юсь!D41</f>
        <v>0</v>
      </c>
      <c r="CH27" s="187">
        <f t="shared" si="37"/>
        <v>0</v>
      </c>
      <c r="CI27" s="187">
        <f>Юсь!C42</f>
        <v>1876.63464</v>
      </c>
      <c r="CJ27" s="187">
        <f>Юсь!D42</f>
        <v>172.48</v>
      </c>
      <c r="CK27" s="187">
        <f t="shared" si="7"/>
        <v>9.1909206152136242</v>
      </c>
      <c r="CL27" s="187">
        <f>Юсь!C43</f>
        <v>182.65700000000001</v>
      </c>
      <c r="CM27" s="187">
        <f>Юсь!D43</f>
        <v>44.499000000000002</v>
      </c>
      <c r="CN27" s="187">
        <f t="shared" si="8"/>
        <v>24.362055656229984</v>
      </c>
      <c r="CO27" s="187">
        <f>Юсь!C50</f>
        <v>0</v>
      </c>
      <c r="CP27" s="187">
        <f>Юсь!D50</f>
        <v>0</v>
      </c>
      <c r="CQ27" s="187"/>
      <c r="CR27" s="401">
        <f>Юсь!C51</f>
        <v>0</v>
      </c>
      <c r="CS27" s="187">
        <f>Юсь!D51</f>
        <v>0</v>
      </c>
      <c r="CT27" s="187" t="e">
        <f t="shared" si="9"/>
        <v>#DIV/0!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88">
        <f t="shared" si="39"/>
        <v>7559.1651899999997</v>
      </c>
      <c r="DH27" s="188">
        <f t="shared" si="39"/>
        <v>1183.8648900000001</v>
      </c>
      <c r="DI27" s="187">
        <f t="shared" si="40"/>
        <v>15.661317886876343</v>
      </c>
      <c r="DJ27" s="195">
        <f t="shared" si="41"/>
        <v>1234.7919999999999</v>
      </c>
      <c r="DK27" s="195">
        <f t="shared" si="41"/>
        <v>290.02451000000002</v>
      </c>
      <c r="DL27" s="187">
        <f t="shared" si="42"/>
        <v>23.487721818735466</v>
      </c>
      <c r="DM27" s="187">
        <f>Юсь!C59</f>
        <v>1175.2919999999999</v>
      </c>
      <c r="DN27" s="187">
        <f>Юсь!D59</f>
        <v>235.83251000000001</v>
      </c>
      <c r="DO27" s="187">
        <f t="shared" si="43"/>
        <v>20.065865333891495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54.5</v>
      </c>
      <c r="DW27" s="187">
        <f>Юсь!D64</f>
        <v>54.192</v>
      </c>
      <c r="DX27" s="187">
        <f t="shared" si="46"/>
        <v>99.434862385321097</v>
      </c>
      <c r="DY27" s="187">
        <f>Юсь!C66</f>
        <v>179.892</v>
      </c>
      <c r="DZ27" s="187">
        <f>Юсь!D66</f>
        <v>33.378</v>
      </c>
      <c r="EA27" s="187">
        <f t="shared" si="47"/>
        <v>18.554466012941099</v>
      </c>
      <c r="EB27" s="187">
        <f>Юсь!C67</f>
        <v>17</v>
      </c>
      <c r="EC27" s="187">
        <f>Юсь!D67</f>
        <v>2</v>
      </c>
      <c r="ED27" s="187">
        <f t="shared" si="48"/>
        <v>11.76470588235294</v>
      </c>
      <c r="EE27" s="195">
        <f>Юсь!C73</f>
        <v>2983.6361899999997</v>
      </c>
      <c r="EF27" s="195">
        <f>Юсь!D73</f>
        <v>191.12700000000001</v>
      </c>
      <c r="EG27" s="187">
        <f t="shared" si="49"/>
        <v>6.4058413234356166</v>
      </c>
      <c r="EH27" s="195">
        <f>Юсь!C78</f>
        <v>444.66699999999997</v>
      </c>
      <c r="EI27" s="195">
        <f>Юсь!D78</f>
        <v>86.93168</v>
      </c>
      <c r="EJ27" s="187">
        <f t="shared" si="50"/>
        <v>19.549838418411984</v>
      </c>
      <c r="EK27" s="195">
        <f>Юсь!C82</f>
        <v>2697.1779999999999</v>
      </c>
      <c r="EL27" s="197">
        <f>Юсь!D82</f>
        <v>580.40369999999996</v>
      </c>
      <c r="EM27" s="187">
        <f t="shared" si="10"/>
        <v>21.518924594520641</v>
      </c>
      <c r="EN27" s="187">
        <f>Юсь!C84</f>
        <v>0</v>
      </c>
      <c r="EO27" s="187">
        <f>Юсь!D84</f>
        <v>0</v>
      </c>
      <c r="EP27" s="187" t="e">
        <f t="shared" si="11"/>
        <v>#DIV/0!</v>
      </c>
      <c r="EQ27" s="198">
        <f>Юсь!C89</f>
        <v>2</v>
      </c>
      <c r="ER27" s="198">
        <f>Юсь!D89</f>
        <v>0</v>
      </c>
      <c r="ES27" s="187">
        <f t="shared" si="51"/>
        <v>0</v>
      </c>
      <c r="ET27" s="187">
        <f>Юсь!C95</f>
        <v>0</v>
      </c>
      <c r="EU27" s="187">
        <f>Юсь!D95</f>
        <v>0</v>
      </c>
      <c r="EV27" s="184" t="e">
        <f t="shared" si="52"/>
        <v>#DIV/0!</v>
      </c>
      <c r="EW27" s="191">
        <f t="shared" si="12"/>
        <v>-260.56954999999925</v>
      </c>
      <c r="EX27" s="191">
        <f t="shared" si="13"/>
        <v>136.27949999999987</v>
      </c>
      <c r="EY27" s="184">
        <f t="shared" si="54"/>
        <v>-52.300623768203259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59">
        <f t="shared" si="14"/>
        <v>12545.68858</v>
      </c>
      <c r="D28" s="444">
        <f>G28+CA28+CY28</f>
        <v>1246.7146700000001</v>
      </c>
      <c r="E28" s="187">
        <f>D28/C28*100</f>
        <v>9.9373953215089301</v>
      </c>
      <c r="F28" s="185">
        <f t="shared" si="2"/>
        <v>3043.3092899999997</v>
      </c>
      <c r="G28" s="185">
        <f>J28+Y28+AB28+AE28+AH28+AN28+AT28+BF28+AK28+BR28+BO28+AZ28+M28+S28+P28+V28+AQ28</f>
        <v>418.79167000000001</v>
      </c>
      <c r="H28" s="187">
        <f>G28/F28*100</f>
        <v>13.761061728957561</v>
      </c>
      <c r="I28" s="195">
        <f>Яра!C6</f>
        <v>137.33699999999999</v>
      </c>
      <c r="J28" s="188">
        <f>Яра!D6</f>
        <v>17.818680000000001</v>
      </c>
      <c r="K28" s="187">
        <f t="shared" si="16"/>
        <v>12.974420585858146</v>
      </c>
      <c r="L28" s="187">
        <f>Яра!C8</f>
        <v>274.90499999999997</v>
      </c>
      <c r="M28" s="187">
        <f>Яра!D8</f>
        <v>95.013069999999999</v>
      </c>
      <c r="N28" s="184">
        <f t="shared" si="17"/>
        <v>34.562146923482665</v>
      </c>
      <c r="O28" s="184">
        <f>Яра!C9</f>
        <v>2.948</v>
      </c>
      <c r="P28" s="184">
        <f>Яра!D9</f>
        <v>0.66385000000000005</v>
      </c>
      <c r="Q28" s="184">
        <f t="shared" si="18"/>
        <v>22.518656716417912</v>
      </c>
      <c r="R28" s="184">
        <f>Яра!C10</f>
        <v>459.15699999999998</v>
      </c>
      <c r="S28" s="184">
        <f>Яра!D10</f>
        <v>139.30878000000001</v>
      </c>
      <c r="T28" s="184">
        <f t="shared" si="19"/>
        <v>30.340118957132312</v>
      </c>
      <c r="U28" s="184">
        <f>Яра!C11</f>
        <v>0</v>
      </c>
      <c r="V28" s="395">
        <f>Яра!D11</f>
        <v>-18.699290000000001</v>
      </c>
      <c r="W28" s="184" t="e">
        <f t="shared" si="20"/>
        <v>#DIV/0!</v>
      </c>
      <c r="X28" s="195">
        <f>Яра!C13</f>
        <v>21</v>
      </c>
      <c r="Y28" s="195">
        <f>Яра!D13</f>
        <v>6.5393999999999997</v>
      </c>
      <c r="Z28" s="187">
        <f t="shared" si="21"/>
        <v>31.14</v>
      </c>
      <c r="AA28" s="195">
        <f>Яра!C15</f>
        <v>201</v>
      </c>
      <c r="AB28" s="394">
        <f>Яра!D15</f>
        <v>19.572600000000001</v>
      </c>
      <c r="AC28" s="187">
        <f t="shared" si="22"/>
        <v>9.7376119402985086</v>
      </c>
      <c r="AD28" s="195">
        <f>Яра!C16</f>
        <v>1494.3772899999999</v>
      </c>
      <c r="AE28" s="195">
        <f>Яра!D16</f>
        <v>91.031989999999993</v>
      </c>
      <c r="AF28" s="187">
        <f t="shared" si="4"/>
        <v>6.0916336596630156</v>
      </c>
      <c r="AG28" s="187">
        <f>Яра!C18</f>
        <v>12</v>
      </c>
      <c r="AH28" s="187">
        <f>Яра!D18</f>
        <v>3.27</v>
      </c>
      <c r="AI28" s="187">
        <f t="shared" si="23"/>
        <v>27.250000000000004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10</v>
      </c>
      <c r="AQ28" s="433">
        <f>Яра!D27</f>
        <v>0.39300000000000002</v>
      </c>
      <c r="AR28" s="187">
        <f t="shared" si="24"/>
        <v>3.93</v>
      </c>
      <c r="AS28" s="188">
        <f>Яра!C28</f>
        <v>0</v>
      </c>
      <c r="AT28" s="393">
        <f>Яра!D28</f>
        <v>0</v>
      </c>
      <c r="AU28" s="187" t="e">
        <f t="shared" si="25"/>
        <v>#DIV/0!</v>
      </c>
      <c r="AV28" s="195"/>
      <c r="AW28" s="195"/>
      <c r="AX28" s="187" t="e">
        <f t="shared" si="26"/>
        <v>#DIV/0!</v>
      </c>
      <c r="AY28" s="187">
        <f>Яра!C31</f>
        <v>0</v>
      </c>
      <c r="AZ28" s="226">
        <f>Яра!D31</f>
        <v>25</v>
      </c>
      <c r="BA28" s="187" t="e">
        <f t="shared" si="27"/>
        <v>#DIV/0!</v>
      </c>
      <c r="BB28" s="187"/>
      <c r="BC28" s="187"/>
      <c r="BD28" s="187"/>
      <c r="BE28" s="187">
        <f>Яра!C34</f>
        <v>430.58499999999998</v>
      </c>
      <c r="BF28" s="187">
        <v>0</v>
      </c>
      <c r="BG28" s="187">
        <f t="shared" si="28"/>
        <v>0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6">
        <f>Яра!D35</f>
        <v>38.87959</v>
      </c>
      <c r="BP28" s="187" t="e">
        <f t="shared" si="30"/>
        <v>#DIV/0!</v>
      </c>
      <c r="BQ28" s="187">
        <f>Яра!C37</f>
        <v>0</v>
      </c>
      <c r="BR28" s="187">
        <f>Яра!D37</f>
        <v>0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9502.3792900000008</v>
      </c>
      <c r="CA28" s="186">
        <f t="shared" si="35"/>
        <v>827.923</v>
      </c>
      <c r="CB28" s="187">
        <f t="shared" si="53"/>
        <v>8.7127968136493941</v>
      </c>
      <c r="CC28" s="187">
        <f>Яра!C42</f>
        <v>1852.8</v>
      </c>
      <c r="CD28" s="187">
        <f>Яра!D42</f>
        <v>463.2</v>
      </c>
      <c r="CE28" s="187">
        <f t="shared" si="36"/>
        <v>25</v>
      </c>
      <c r="CF28" s="187">
        <f>Яра!C43</f>
        <v>494</v>
      </c>
      <c r="CG28" s="187">
        <f>Яра!D43</f>
        <v>50</v>
      </c>
      <c r="CH28" s="187">
        <f t="shared" si="37"/>
        <v>10.121457489878543</v>
      </c>
      <c r="CI28" s="187">
        <f>Яра!C44</f>
        <v>4723.53629</v>
      </c>
      <c r="CJ28" s="187">
        <f>Яра!D44</f>
        <v>270.22399999999999</v>
      </c>
      <c r="CK28" s="187">
        <f t="shared" si="7"/>
        <v>5.7207986434248399</v>
      </c>
      <c r="CL28" s="187">
        <f>Яра!C45</f>
        <v>182.04300000000001</v>
      </c>
      <c r="CM28" s="187">
        <f>Яра!D45</f>
        <v>44.499000000000002</v>
      </c>
      <c r="CN28" s="187">
        <f t="shared" si="8"/>
        <v>24.444224716138496</v>
      </c>
      <c r="CO28" s="187">
        <f>Яра!C47</f>
        <v>2250</v>
      </c>
      <c r="CP28" s="187">
        <f>Яра!D47</f>
        <v>0</v>
      </c>
      <c r="CQ28" s="187"/>
      <c r="CR28" s="401">
        <f>Яра!C51</f>
        <v>0</v>
      </c>
      <c r="CS28" s="187">
        <f>Яра!D51</f>
        <v>0</v>
      </c>
      <c r="CT28" s="187" t="e">
        <f t="shared" si="9"/>
        <v>#DIV/0!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88">
        <f t="shared" si="39"/>
        <v>13760.587640000002</v>
      </c>
      <c r="DH28" s="188">
        <f t="shared" si="39"/>
        <v>886.37655000000007</v>
      </c>
      <c r="DI28" s="187">
        <f t="shared" si="40"/>
        <v>6.4414149539910204</v>
      </c>
      <c r="DJ28" s="195">
        <f t="shared" si="41"/>
        <v>1209.8699999999999</v>
      </c>
      <c r="DK28" s="195">
        <f t="shared" si="41"/>
        <v>261.14318000000003</v>
      </c>
      <c r="DL28" s="187">
        <f t="shared" si="42"/>
        <v>21.584399976857021</v>
      </c>
      <c r="DM28" s="187">
        <f>Яра!C59</f>
        <v>1197.0999999999999</v>
      </c>
      <c r="DN28" s="187">
        <f>Яра!D59</f>
        <v>253.37368000000001</v>
      </c>
      <c r="DO28" s="187">
        <f t="shared" si="43"/>
        <v>21.165623590343333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7.77</v>
      </c>
      <c r="DW28" s="187">
        <f>Яра!D64</f>
        <v>7.7694999999999999</v>
      </c>
      <c r="DX28" s="187">
        <f t="shared" si="46"/>
        <v>99.993564993565002</v>
      </c>
      <c r="DY28" s="187">
        <f>Яра!C66</f>
        <v>179.892</v>
      </c>
      <c r="DZ28" s="187">
        <f>Яра!D65</f>
        <v>33.871110000000002</v>
      </c>
      <c r="EA28" s="187">
        <f t="shared" si="47"/>
        <v>18.828580481622311</v>
      </c>
      <c r="EB28" s="187">
        <f>Яра!C67</f>
        <v>6.1749999999999998</v>
      </c>
      <c r="EC28" s="187">
        <f>Яра!D67</f>
        <v>0.17499999999999999</v>
      </c>
      <c r="ED28" s="187">
        <f t="shared" si="48"/>
        <v>2.834008097165992</v>
      </c>
      <c r="EE28" s="195">
        <f>Яра!C73</f>
        <v>5483.0478000000003</v>
      </c>
      <c r="EF28" s="195">
        <f>Яра!D73</f>
        <v>192.20707999999999</v>
      </c>
      <c r="EG28" s="187">
        <f t="shared" si="49"/>
        <v>3.505478832411419</v>
      </c>
      <c r="EH28" s="195">
        <f>Яра!C78</f>
        <v>527.78099999999995</v>
      </c>
      <c r="EI28" s="195">
        <f>Яра!D78</f>
        <v>37.380409999999998</v>
      </c>
      <c r="EJ28" s="187">
        <f t="shared" si="50"/>
        <v>7.0825607591027335</v>
      </c>
      <c r="EK28" s="195">
        <f>Яра!C82</f>
        <v>6291.9098400000003</v>
      </c>
      <c r="EL28" s="197">
        <f>Яра!D82</f>
        <v>342.00076999999999</v>
      </c>
      <c r="EM28" s="187">
        <f t="shared" si="10"/>
        <v>5.4355637429159342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61.911999999999999</v>
      </c>
      <c r="ER28" s="198">
        <f>Яра!D89</f>
        <v>19.599</v>
      </c>
      <c r="ES28" s="187">
        <f t="shared" si="51"/>
        <v>31.656221734074169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-1214.8990600000016</v>
      </c>
      <c r="EX28" s="191">
        <f t="shared" si="13"/>
        <v>360.33812</v>
      </c>
      <c r="EY28" s="184">
        <f t="shared" si="54"/>
        <v>-29.659922528872446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11993.216989999999</v>
      </c>
      <c r="D29" s="444">
        <f t="shared" si="0"/>
        <v>1045.3312000000001</v>
      </c>
      <c r="E29" s="184">
        <f t="shared" si="1"/>
        <v>8.7160200709417843</v>
      </c>
      <c r="F29" s="185">
        <f t="shared" si="2"/>
        <v>2315.6602800000001</v>
      </c>
      <c r="G29" s="185">
        <f t="shared" si="3"/>
        <v>363.37351999999998</v>
      </c>
      <c r="H29" s="184">
        <f t="shared" si="15"/>
        <v>15.692004701138632</v>
      </c>
      <c r="I29" s="186">
        <f>Яро!C6</f>
        <v>109.68899999999999</v>
      </c>
      <c r="J29" s="188">
        <f>Яро!D6</f>
        <v>22.947379999999999</v>
      </c>
      <c r="K29" s="184">
        <f t="shared" si="16"/>
        <v>20.92040222811768</v>
      </c>
      <c r="L29" s="184">
        <f>Яро!C8</f>
        <v>157.55000000000001</v>
      </c>
      <c r="M29" s="184">
        <f>Яро!D8</f>
        <v>54.45194</v>
      </c>
      <c r="N29" s="184">
        <f t="shared" si="17"/>
        <v>34.561688352903836</v>
      </c>
      <c r="O29" s="184">
        <f>Яро!C9</f>
        <v>1.69</v>
      </c>
      <c r="P29" s="184">
        <f>Яро!D9</f>
        <v>0.38045000000000001</v>
      </c>
      <c r="Q29" s="184">
        <f t="shared" si="18"/>
        <v>22.511834319526628</v>
      </c>
      <c r="R29" s="184">
        <f>Яро!C10</f>
        <v>263.14</v>
      </c>
      <c r="S29" s="184">
        <f>Яро!D10</f>
        <v>79.837779999999995</v>
      </c>
      <c r="T29" s="184">
        <f t="shared" si="19"/>
        <v>30.340419548529301</v>
      </c>
      <c r="U29" s="184">
        <f>Яро!C11</f>
        <v>0</v>
      </c>
      <c r="V29" s="395">
        <f>Яро!D11</f>
        <v>-10.716559999999999</v>
      </c>
      <c r="W29" s="184" t="e">
        <f t="shared" si="20"/>
        <v>#DIV/0!</v>
      </c>
      <c r="X29" s="186">
        <f>Яро!C13</f>
        <v>5</v>
      </c>
      <c r="Y29" s="186">
        <f>Яро!D13</f>
        <v>0.74790000000000001</v>
      </c>
      <c r="Z29" s="184">
        <f t="shared" si="21"/>
        <v>14.957999999999998</v>
      </c>
      <c r="AA29" s="186">
        <f>Яро!C15</f>
        <v>428</v>
      </c>
      <c r="AB29" s="394">
        <f>Яро!D15</f>
        <v>94.37594</v>
      </c>
      <c r="AC29" s="184">
        <f t="shared" si="22"/>
        <v>22.050453271028037</v>
      </c>
      <c r="AD29" s="186">
        <f>Яро!C16</f>
        <v>1028</v>
      </c>
      <c r="AE29" s="186">
        <f>Яро!D16</f>
        <v>70.572919999999996</v>
      </c>
      <c r="AF29" s="184">
        <f t="shared" si="4"/>
        <v>6.8650700389105053</v>
      </c>
      <c r="AG29" s="184">
        <f>Яро!C18</f>
        <v>5</v>
      </c>
      <c r="AH29" s="184">
        <f>Яро!D18</f>
        <v>1.95</v>
      </c>
      <c r="AI29" s="184">
        <f t="shared" si="23"/>
        <v>39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300</v>
      </c>
      <c r="AQ29" s="432">
        <f>Яро!D27</f>
        <v>37.333770000000001</v>
      </c>
      <c r="AR29" s="184">
        <f t="shared" si="24"/>
        <v>12.44459</v>
      </c>
      <c r="AS29" s="188">
        <v>0</v>
      </c>
      <c r="AT29" s="203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226">
        <f>Яро!D29</f>
        <v>5.093</v>
      </c>
      <c r="BA29" s="184" t="e">
        <f t="shared" si="27"/>
        <v>#DIV/0!</v>
      </c>
      <c r="BB29" s="184"/>
      <c r="BC29" s="184"/>
      <c r="BD29" s="184"/>
      <c r="BE29" s="184">
        <f>Яро!C33</f>
        <v>17.591280000000001</v>
      </c>
      <c r="BF29" s="184">
        <f>Яро!D31</f>
        <v>6.399</v>
      </c>
      <c r="BG29" s="184">
        <f t="shared" si="28"/>
        <v>36.37597718869803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9677.5567099999989</v>
      </c>
      <c r="CA29" s="186">
        <f t="shared" si="35"/>
        <v>681.95767999999998</v>
      </c>
      <c r="CB29" s="184">
        <f t="shared" si="53"/>
        <v>7.0467960089070871</v>
      </c>
      <c r="CC29" s="187">
        <f>Яро!C39</f>
        <v>550.70000000000005</v>
      </c>
      <c r="CD29" s="187">
        <f>Яро!D39</f>
        <v>137.67599999999999</v>
      </c>
      <c r="CE29" s="184">
        <f t="shared" si="36"/>
        <v>25.000181587070998</v>
      </c>
      <c r="CF29" s="184">
        <f>Яро!C40</f>
        <v>3200</v>
      </c>
      <c r="CG29" s="184">
        <f>Яро!D40</f>
        <v>70</v>
      </c>
      <c r="CH29" s="184">
        <f t="shared" si="37"/>
        <v>2.1875</v>
      </c>
      <c r="CI29" s="184">
        <f>Яро!C41</f>
        <v>5593.3550299999997</v>
      </c>
      <c r="CJ29" s="184">
        <f>Яро!D41</f>
        <v>211.54400000000001</v>
      </c>
      <c r="CK29" s="184">
        <f t="shared" si="7"/>
        <v>3.7820592268036317</v>
      </c>
      <c r="CL29" s="184">
        <f>Яро!C42</f>
        <v>93.018000000000001</v>
      </c>
      <c r="CM29" s="184">
        <f>Яро!D42</f>
        <v>22.254000000000001</v>
      </c>
      <c r="CN29" s="184">
        <f t="shared" si="8"/>
        <v>23.924401728697671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395">
        <f>Яро!C45</f>
        <v>240.48367999999999</v>
      </c>
      <c r="CS29" s="184">
        <f>Яро!D45</f>
        <v>240.48367999999999</v>
      </c>
      <c r="CT29" s="184">
        <f t="shared" si="9"/>
        <v>100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8">
        <f t="shared" si="39"/>
        <v>12045.491419999998</v>
      </c>
      <c r="DH29" s="188">
        <f t="shared" si="39"/>
        <v>894.58755999999994</v>
      </c>
      <c r="DI29" s="184">
        <f t="shared" si="40"/>
        <v>7.4267419136976986</v>
      </c>
      <c r="DJ29" s="186">
        <f t="shared" si="41"/>
        <v>1294.6619999999998</v>
      </c>
      <c r="DK29" s="186">
        <f t="shared" si="41"/>
        <v>239.03984</v>
      </c>
      <c r="DL29" s="184">
        <f t="shared" si="42"/>
        <v>18.463493946682611</v>
      </c>
      <c r="DM29" s="184">
        <f>Яро!C55</f>
        <v>1286.5719999999999</v>
      </c>
      <c r="DN29" s="184">
        <f>Яро!D55</f>
        <v>235.95034000000001</v>
      </c>
      <c r="DO29" s="184">
        <f t="shared" si="43"/>
        <v>18.339458654470953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3.09</v>
      </c>
      <c r="DW29" s="184">
        <f>Яро!D60</f>
        <v>3.0895000000000001</v>
      </c>
      <c r="DX29" s="184">
        <f t="shared" si="46"/>
        <v>99.983818770226549</v>
      </c>
      <c r="DY29" s="184">
        <f>Яро!C61</f>
        <v>89.944999999999993</v>
      </c>
      <c r="DZ29" s="184">
        <f>Яро!D61</f>
        <v>20.000679999999999</v>
      </c>
      <c r="EA29" s="184">
        <f t="shared" si="47"/>
        <v>22.23656679081661</v>
      </c>
      <c r="EB29" s="184">
        <f>Яро!C63</f>
        <v>16</v>
      </c>
      <c r="EC29" s="184">
        <f>Яро!D63</f>
        <v>3.1354299999999999</v>
      </c>
      <c r="ED29" s="184">
        <f t="shared" si="48"/>
        <v>19.5964375</v>
      </c>
      <c r="EE29" s="186">
        <f>Яро!C69</f>
        <v>4031.9520299999995</v>
      </c>
      <c r="EF29" s="186">
        <f>Яро!D69</f>
        <v>328.32875999999999</v>
      </c>
      <c r="EG29" s="184">
        <f t="shared" si="49"/>
        <v>8.1431712866881512</v>
      </c>
      <c r="EH29" s="186">
        <f>Яро!C74</f>
        <v>233.28959</v>
      </c>
      <c r="EI29" s="186">
        <f>Яро!D74</f>
        <v>132.79785000000001</v>
      </c>
      <c r="EJ29" s="184">
        <f t="shared" si="50"/>
        <v>56.924035916047522</v>
      </c>
      <c r="EK29" s="186">
        <f>Яро!C79</f>
        <v>6377.6427999999996</v>
      </c>
      <c r="EL29" s="190">
        <f>Яро!D78</f>
        <v>170</v>
      </c>
      <c r="EM29" s="184">
        <f t="shared" si="10"/>
        <v>2.6655616397958193</v>
      </c>
      <c r="EN29" s="184">
        <f>Яро!C80</f>
        <v>0</v>
      </c>
      <c r="EO29" s="184">
        <f>Яро!D80</f>
        <v>0</v>
      </c>
      <c r="EP29" s="184" t="e">
        <f t="shared" si="11"/>
        <v>#DIV/0!</v>
      </c>
      <c r="EQ29" s="185">
        <f>Яро!C85</f>
        <v>2</v>
      </c>
      <c r="ER29" s="185">
        <f>Яро!D85</f>
        <v>1.2849999999999999</v>
      </c>
      <c r="ES29" s="184">
        <f t="shared" si="51"/>
        <v>64.25</v>
      </c>
      <c r="ET29" s="184">
        <f>Яро!C91</f>
        <v>0</v>
      </c>
      <c r="EU29" s="184">
        <f>Яро!D91</f>
        <v>0</v>
      </c>
      <c r="EV29" s="184" t="e">
        <f t="shared" si="52"/>
        <v>#DIV/0!</v>
      </c>
      <c r="EW29" s="191">
        <f t="shared" si="12"/>
        <v>-52.274429999999484</v>
      </c>
      <c r="EX29" s="191">
        <f t="shared" si="13"/>
        <v>150.74364000000014</v>
      </c>
      <c r="EY29" s="184">
        <f t="shared" si="54"/>
        <v>-288.36974406034005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5"/>
      <c r="E30" s="184"/>
      <c r="F30" s="185"/>
      <c r="G30" s="186"/>
      <c r="H30" s="184"/>
      <c r="I30" s="186"/>
      <c r="J30" s="203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395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226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395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2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5" customFormat="1" ht="15.75">
      <c r="A31" s="518" t="s">
        <v>180</v>
      </c>
      <c r="B31" s="519"/>
      <c r="C31" s="286">
        <f>SUM(C14:C29)</f>
        <v>135443.00868999999</v>
      </c>
      <c r="D31" s="286">
        <f>SUM(D14:D29)</f>
        <v>18902.421230000004</v>
      </c>
      <c r="E31" s="204">
        <f>D31/C31*100</f>
        <v>13.955996262061479</v>
      </c>
      <c r="F31" s="398">
        <f>SUM(F14:F29)</f>
        <v>39371.26857</v>
      </c>
      <c r="G31" s="366">
        <f>SUM(G14:G29)</f>
        <v>6589.775349999999</v>
      </c>
      <c r="H31" s="237">
        <f>G31/F31*100</f>
        <v>16.737523552952663</v>
      </c>
      <c r="I31" s="366">
        <f>SUM(I14:I29)</f>
        <v>5296.6999999999989</v>
      </c>
      <c r="J31" s="366">
        <f>SUM(J14:J29)</f>
        <v>1172.6205300000004</v>
      </c>
      <c r="K31" s="237">
        <f>J31/I31*100</f>
        <v>22.138700134045738</v>
      </c>
      <c r="L31" s="237">
        <f>SUM(L14:L29)</f>
        <v>3048.8849999999993</v>
      </c>
      <c r="M31" s="466">
        <f>SUM(M14:M29)</f>
        <v>1053.7561999999998</v>
      </c>
      <c r="N31" s="237">
        <f>M31/L31*100</f>
        <v>34.562018574003282</v>
      </c>
      <c r="O31" s="237">
        <f>SUM(O14:O29)</f>
        <v>32.633000000000003</v>
      </c>
      <c r="P31" s="237">
        <f>SUM(P14:P29)</f>
        <v>7.3626499999999995</v>
      </c>
      <c r="Q31" s="237">
        <f>P31/O31*100</f>
        <v>22.561977139705203</v>
      </c>
      <c r="R31" s="237">
        <f>SUM(R14:R29)</f>
        <v>5092.3970000000008</v>
      </c>
      <c r="S31" s="237">
        <f>SUM(S14:S29)</f>
        <v>1545.0240200000003</v>
      </c>
      <c r="T31" s="237">
        <f>S31/R31*100</f>
        <v>30.339818753329716</v>
      </c>
      <c r="U31" s="237">
        <f>SUM(U14:U29)</f>
        <v>0</v>
      </c>
      <c r="V31" s="397">
        <f>SUM(V14:V29)</f>
        <v>-207.38726999999997</v>
      </c>
      <c r="W31" s="237" t="e">
        <f>V31/U31*100</f>
        <v>#DIV/0!</v>
      </c>
      <c r="X31" s="234">
        <f>SUM(X14:X29)</f>
        <v>470</v>
      </c>
      <c r="Y31" s="234">
        <f>SUM(Y14:Y29)</f>
        <v>262.66600999999997</v>
      </c>
      <c r="Z31" s="237">
        <f>Y31/X31*100</f>
        <v>55.886385106382974</v>
      </c>
      <c r="AA31" s="234">
        <f>SUM(AA14:AA29)</f>
        <v>5031</v>
      </c>
      <c r="AB31" s="234">
        <f>SUM(AB14:AB29)</f>
        <v>514.52205000000004</v>
      </c>
      <c r="AC31" s="237">
        <f>AB31/AA31*100</f>
        <v>10.227033392963627</v>
      </c>
      <c r="AD31" s="234">
        <f>SUM(AD14:AD29)</f>
        <v>17719.37729</v>
      </c>
      <c r="AE31" s="234">
        <f>SUM(AE14:AE29)</f>
        <v>1534.1131200000002</v>
      </c>
      <c r="AF31" s="237">
        <f>AE31/AD31*100</f>
        <v>8.6578275008895655</v>
      </c>
      <c r="AG31" s="358">
        <f>SUM(AG14:AG29)</f>
        <v>147</v>
      </c>
      <c r="AH31" s="237">
        <f>SUM(AH14:AH29)</f>
        <v>27.885000000000002</v>
      </c>
      <c r="AI31" s="184">
        <f t="shared" si="23"/>
        <v>18.969387755102041</v>
      </c>
      <c r="AJ31" s="234">
        <f>AJ14+AJ15+AJ16+AJ17+AJ18+AJ19+AJ20+AJ21+AJ22+AJ23+AJ24+AJ25+AJ26+AJ27+AJ28+AJ29</f>
        <v>0</v>
      </c>
      <c r="AK31" s="234">
        <f>AK14+AK15+AK16+AK17+AK18+AK19+AK20+AK21+AK22+AK23+AK24+AK25+AK26+AK27+AK28+AK29</f>
        <v>0</v>
      </c>
      <c r="AL31" s="184" t="e">
        <f>AK31/AJ31*100</f>
        <v>#DIV/0!</v>
      </c>
      <c r="AM31" s="234">
        <f>SUM(AM14:AM29)</f>
        <v>0</v>
      </c>
      <c r="AN31" s="234">
        <f>SUM(AN14:AN29)</f>
        <v>0</v>
      </c>
      <c r="AO31" s="237" t="e">
        <f>AN31/AM31*100</f>
        <v>#DIV/0!</v>
      </c>
      <c r="AP31" s="234">
        <f>SUM(AP14:AP29)</f>
        <v>1611.4</v>
      </c>
      <c r="AQ31" s="435">
        <f>SUM(AQ14:AQ29)</f>
        <v>188.85152999999997</v>
      </c>
      <c r="AR31" s="237">
        <f>AQ31/AP31*100</f>
        <v>11.71971763683753</v>
      </c>
      <c r="AS31" s="234">
        <f>SUM(AS14:AS29)</f>
        <v>243.7</v>
      </c>
      <c r="AT31" s="366">
        <f>SUM(AT14:AT29)</f>
        <v>127.99169999999998</v>
      </c>
      <c r="AU31" s="237">
        <f>AT31/AS31*100</f>
        <v>52.520188756668027</v>
      </c>
      <c r="AV31" s="234">
        <f>SUM(AV14:AV29)</f>
        <v>0</v>
      </c>
      <c r="AW31" s="234">
        <f>SUM(AW14:AW29)</f>
        <v>0</v>
      </c>
      <c r="AX31" s="237" t="e">
        <f>AW31/AV31*100</f>
        <v>#DIV/0!</v>
      </c>
      <c r="AY31" s="237">
        <f>SUM(AY14:AY29)</f>
        <v>230</v>
      </c>
      <c r="AZ31" s="237">
        <f>SUM(AZ14:AZ29)</f>
        <v>304.22726</v>
      </c>
      <c r="BA31" s="184">
        <f t="shared" si="27"/>
        <v>132.27272173913042</v>
      </c>
      <c r="BB31" s="184">
        <f>SUM(BB14:BB29)</f>
        <v>0</v>
      </c>
      <c r="BC31" s="184">
        <f>SUM(BC14:BC29)</f>
        <v>6.3845299999999998</v>
      </c>
      <c r="BD31" s="184" t="e">
        <f>BC31/BB31*100</f>
        <v>#DIV/0!</v>
      </c>
      <c r="BE31" s="235">
        <f>SUM(BE14:BE29)</f>
        <v>448.17627999999996</v>
      </c>
      <c r="BF31" s="234">
        <f>SUM(BF14:BF29)</f>
        <v>6.399</v>
      </c>
      <c r="BG31" s="234">
        <f t="shared" si="28"/>
        <v>1.4277864058312055</v>
      </c>
      <c r="BH31" s="234">
        <f>SUM(BH14:BH29)</f>
        <v>0</v>
      </c>
      <c r="BI31" s="234">
        <f>SUM(BI14:BI29)</f>
        <v>0</v>
      </c>
      <c r="BJ31" s="237" t="e">
        <f>BI31/BH31*100</f>
        <v>#DIV/0!</v>
      </c>
      <c r="BK31" s="237">
        <f>SUM(BK14:BK29)</f>
        <v>0</v>
      </c>
      <c r="BL31" s="237">
        <f>BL15+BL27+BL28+BL19+BL22+BL26+BL18</f>
        <v>0</v>
      </c>
      <c r="BM31" s="237" t="e">
        <f>BL31/BK31*100</f>
        <v>#DIV/0!</v>
      </c>
      <c r="BN31" s="237">
        <f>BN14+BN15+BN16+BN17+BN18+BN19+BN20+BN21+BN22+BN23+BN24+BN25+BN26+BN27+BN28+BN29</f>
        <v>0</v>
      </c>
      <c r="BO31" s="237">
        <f>BO14+BO15+BO16+BO17+BO18+BO19+BO20+BO21+BO22+BO23+BO24+BO25+BO26+BO27+BO28+BO29</f>
        <v>56.393550000000005</v>
      </c>
      <c r="BP31" s="237" t="e">
        <f>BO31/BN31*100</f>
        <v>#DIV/0!</v>
      </c>
      <c r="BQ31" s="234">
        <f>SUM(BQ14:BQ29)</f>
        <v>0</v>
      </c>
      <c r="BR31" s="354">
        <f>SUM(BR14:BR29)</f>
        <v>-4.6500000000000004</v>
      </c>
      <c r="BS31" s="237" t="e">
        <f>BR31/BQ31*100</f>
        <v>#DIV/0!</v>
      </c>
      <c r="BT31" s="237">
        <f t="shared" ref="BT31:BY31" si="55">SUM(BT14:BT29)</f>
        <v>0</v>
      </c>
      <c r="BU31" s="237"/>
      <c r="BV31" s="237" t="e">
        <f t="shared" si="55"/>
        <v>#DIV/0!</v>
      </c>
      <c r="BW31" s="237">
        <f t="shared" si="55"/>
        <v>0</v>
      </c>
      <c r="BX31" s="237">
        <f t="shared" si="55"/>
        <v>0</v>
      </c>
      <c r="BY31" s="288" t="e">
        <f t="shared" si="55"/>
        <v>#DIV/0!</v>
      </c>
      <c r="BZ31" s="235">
        <f>SUM(BZ14:BZ29)</f>
        <v>96071.740120000002</v>
      </c>
      <c r="CA31" s="234">
        <f>SUM(CA14:CA29)</f>
        <v>12312.64588</v>
      </c>
      <c r="CB31" s="234">
        <f t="shared" si="53"/>
        <v>12.816095414344202</v>
      </c>
      <c r="CC31" s="234">
        <f>SUM(CC14:CC29)</f>
        <v>28294.000000000004</v>
      </c>
      <c r="CD31" s="234">
        <f>SUM(CD14:CD29)</f>
        <v>7073.3490000000011</v>
      </c>
      <c r="CE31" s="234">
        <f>CD31/CC31*100</f>
        <v>24.99946631794727</v>
      </c>
      <c r="CF31" s="443">
        <f>SUM(CF14:CF29)</f>
        <v>6651.5</v>
      </c>
      <c r="CG31" s="442">
        <f>SUM(CG14:CG29)</f>
        <v>337.5</v>
      </c>
      <c r="CH31" s="234">
        <f>CG31/CF31*100</f>
        <v>5.0740434488461252</v>
      </c>
      <c r="CI31" s="234">
        <f>SUM(CI14:CI29)</f>
        <v>51550.873790000005</v>
      </c>
      <c r="CJ31" s="234">
        <f>SUM(CJ14:CJ29)</f>
        <v>3043.5369999999998</v>
      </c>
      <c r="CK31" s="234">
        <f>CJ31/CI31*100</f>
        <v>5.9039484226752226</v>
      </c>
      <c r="CL31" s="234">
        <f>SUM(CL14:CL29)</f>
        <v>2201.1</v>
      </c>
      <c r="CM31" s="234">
        <f>SUM(CM14:CM29)</f>
        <v>534</v>
      </c>
      <c r="CN31" s="234">
        <f t="shared" si="8"/>
        <v>24.260596974240155</v>
      </c>
      <c r="CO31" s="234">
        <f>SUM(CO14:CO29)</f>
        <v>3926.6381300000003</v>
      </c>
      <c r="CP31" s="234">
        <f>SUM(CP14:CP29)</f>
        <v>0</v>
      </c>
      <c r="CQ31" s="234">
        <f>CP31/CO31*100</f>
        <v>0</v>
      </c>
      <c r="CR31" s="366">
        <f>SUM(CR14:CR29)</f>
        <v>3447.6282000000001</v>
      </c>
      <c r="CS31" s="234">
        <f>SUM(CS14:CS29)</f>
        <v>1324.2598800000001</v>
      </c>
      <c r="CT31" s="234">
        <f t="shared" si="9"/>
        <v>38.4107509040563</v>
      </c>
      <c r="CU31" s="234">
        <f>SUM(CU14:CU29)</f>
        <v>0</v>
      </c>
      <c r="CV31" s="234">
        <f>SUM(CV14:CV29)</f>
        <v>0</v>
      </c>
      <c r="CW31" s="234" t="e">
        <f>CV31/CU31*100</f>
        <v>#DIV/0!</v>
      </c>
      <c r="CX31" s="234">
        <f>SUM(CX14:CX29)</f>
        <v>0</v>
      </c>
      <c r="CY31" s="234">
        <f>SUM(CY14:CY29)</f>
        <v>0</v>
      </c>
      <c r="CZ31" s="237" t="e">
        <f>CY31/CX31*100</f>
        <v>#DIV/0!</v>
      </c>
      <c r="DA31" s="237">
        <f>DA14+DA15+DA16+DA17+DA18+DA19+DA20+DA21+DA22+DA23+DA24+DA25+DA26+DA27+DA28+DA29</f>
        <v>0</v>
      </c>
      <c r="DB31" s="237">
        <f>DB14+DB15+DB16+DB17+DB18+DB19+DB20+DB21+DB22+DB23+DB24+DB25+DB26+DB27+DB28+DB29</f>
        <v>0</v>
      </c>
      <c r="DC31" s="237" t="e">
        <f>DB31/DA31*100</f>
        <v>#DIV/0!</v>
      </c>
      <c r="DD31" s="237">
        <f>DD14+DD15+DD16+DD17+DD18+DD19+DD20+DD21+DD22+DD23+DD24+DD25+DD26+DD27+DD28+DD29</f>
        <v>0</v>
      </c>
      <c r="DE31" s="237">
        <f>DE14+DE15+DE16+DE17+DE18+DE19+DE20+DE21+DE22+DE23+DE24+DE25+DE26+DE27+DE28+DE29</f>
        <v>0</v>
      </c>
      <c r="DF31" s="237">
        <v>0</v>
      </c>
      <c r="DG31" s="235">
        <f>SUM(DG14:DG29)</f>
        <v>143039.30644999997</v>
      </c>
      <c r="DH31" s="235">
        <f>SUM(DH14:DH29)</f>
        <v>16688.464489999998</v>
      </c>
      <c r="DI31" s="237">
        <f>DH31/DG31*100</f>
        <v>11.667047963374687</v>
      </c>
      <c r="DJ31" s="235">
        <f>SUM(DJ14:DJ29)</f>
        <v>21939.311999999998</v>
      </c>
      <c r="DK31" s="235">
        <f>SUM(DK14:DK29)</f>
        <v>4299.9396800000004</v>
      </c>
      <c r="DL31" s="237">
        <f>DK31/DJ31*100</f>
        <v>19.599245773978698</v>
      </c>
      <c r="DM31" s="234">
        <f>SUM(DM14:DM29)</f>
        <v>21522.286</v>
      </c>
      <c r="DN31" s="235">
        <f>SUM(DN14:DN29)</f>
        <v>4001.9811100000002</v>
      </c>
      <c r="DO31" s="237">
        <f>DN31/DM31*100</f>
        <v>18.594591252992366</v>
      </c>
      <c r="DP31" s="234">
        <f>SUM(DP14:DP29)</f>
        <v>0</v>
      </c>
      <c r="DQ31" s="234">
        <f>SUM(DQ14:DQ29)</f>
        <v>0</v>
      </c>
      <c r="DR31" s="237" t="e">
        <f>DQ31/DP31*100</f>
        <v>#DIV/0!</v>
      </c>
      <c r="DS31" s="252">
        <f>SUM(DS14:DS29)</f>
        <v>80</v>
      </c>
      <c r="DT31" s="237">
        <f>SUM(DT14:DT29)</f>
        <v>0</v>
      </c>
      <c r="DU31" s="237">
        <f>DT31/DS31*100</f>
        <v>0</v>
      </c>
      <c r="DV31" s="359">
        <f>SUM(DV14:DV29)</f>
        <v>337.02599999999995</v>
      </c>
      <c r="DW31" s="237">
        <f>SUM(DW14:DW29)</f>
        <v>297.95857000000001</v>
      </c>
      <c r="DX31" s="184">
        <f>DW31/DV31*100</f>
        <v>88.408185125183238</v>
      </c>
      <c r="DY31" s="237">
        <f>SUM(DY14:DY29)</f>
        <v>2158.6999999999998</v>
      </c>
      <c r="DZ31" s="252">
        <f>SUM(DZ14:DZ29)</f>
        <v>406.63159999999999</v>
      </c>
      <c r="EA31" s="234">
        <f t="shared" si="47"/>
        <v>18.83687404456386</v>
      </c>
      <c r="EB31" s="252">
        <f>SUM(EB14:EB29)</f>
        <v>180.88000000000002</v>
      </c>
      <c r="EC31" s="252">
        <f>SUM(EC14:EC29)</f>
        <v>44.750429999999994</v>
      </c>
      <c r="ED31" s="184">
        <f t="shared" si="48"/>
        <v>24.740396948252979</v>
      </c>
      <c r="EE31" s="234">
        <f>SUM(EE14:EE29)</f>
        <v>59616.744009999988</v>
      </c>
      <c r="EF31" s="235">
        <f>SUM(EF14:EF29)</f>
        <v>4133.2453600000008</v>
      </c>
      <c r="EG31" s="237">
        <f>EF31/EE31*100</f>
        <v>6.9330276730757037</v>
      </c>
      <c r="EH31" s="354">
        <f>SUM(EH14:EH29)</f>
        <v>20854.551800000001</v>
      </c>
      <c r="EI31" s="235">
        <f>SUM(EI14:EI29)</f>
        <v>1745.8556299999996</v>
      </c>
      <c r="EJ31" s="237">
        <f>EI31/EH31*100</f>
        <v>8.3715806829279327</v>
      </c>
      <c r="EK31" s="443">
        <f>SUM(EK14:EK29)</f>
        <v>38112.206640000004</v>
      </c>
      <c r="EL31" s="235">
        <f>SUM(EL14:EL29)</f>
        <v>6005.1757899999993</v>
      </c>
      <c r="EM31" s="237">
        <f>EL31/EK31*100</f>
        <v>15.756568090437911</v>
      </c>
      <c r="EN31" s="235">
        <f>SUM(EN14:EN29)</f>
        <v>0</v>
      </c>
      <c r="EO31" s="235">
        <f>SUM(EO14:EO29)</f>
        <v>0</v>
      </c>
      <c r="EP31" s="237" t="e">
        <f>EO31/EN31*100</f>
        <v>#DIV/0!</v>
      </c>
      <c r="EQ31" s="234">
        <f>SUM(EQ14:EQ29)</f>
        <v>176.91200000000001</v>
      </c>
      <c r="ER31" s="234">
        <f>SUM(ER14:ER29)</f>
        <v>52.866</v>
      </c>
      <c r="ES31" s="237">
        <f>ER31/EQ31*100</f>
        <v>29.882653522655328</v>
      </c>
      <c r="ET31" s="237">
        <f>SUM(ET14:ET29)</f>
        <v>0</v>
      </c>
      <c r="EU31" s="287">
        <f>SUM(EU14:EU29)</f>
        <v>0</v>
      </c>
      <c r="EV31" s="184" t="e">
        <f>EU31/ET31*100</f>
        <v>#DIV/0!</v>
      </c>
      <c r="EW31" s="252">
        <f>SUM(EW14:EW29)</f>
        <v>-7596.2977599999986</v>
      </c>
      <c r="EX31" s="237">
        <f>SUM(EX14:EX29)</f>
        <v>2213.9567400000001</v>
      </c>
      <c r="EY31" s="184">
        <f>EX31/EW31*100</f>
        <v>-29.145207441157499</v>
      </c>
    </row>
    <row r="32" spans="1:170" ht="0.75" customHeight="1">
      <c r="C32" s="206">
        <v>85422.769</v>
      </c>
      <c r="D32" s="207">
        <v>6971.8725999999997</v>
      </c>
      <c r="F32" s="208">
        <v>29714</v>
      </c>
      <c r="G32" s="209">
        <v>2141.1016</v>
      </c>
      <c r="I32" s="209">
        <v>4023</v>
      </c>
      <c r="J32" s="209">
        <v>517.83318999999995</v>
      </c>
      <c r="L32" s="153">
        <v>2648.3</v>
      </c>
      <c r="M32" s="210">
        <v>275.27994000000001</v>
      </c>
      <c r="O32" s="153">
        <v>72.06</v>
      </c>
      <c r="P32" s="211">
        <v>5.5919400000000001</v>
      </c>
      <c r="R32" s="212">
        <v>5285.44</v>
      </c>
      <c r="S32" s="153">
        <v>437.64443</v>
      </c>
      <c r="V32" s="211">
        <v>-57.366509999999998</v>
      </c>
      <c r="X32" s="209">
        <v>450</v>
      </c>
      <c r="Y32" s="209">
        <v>50.572130000000001</v>
      </c>
      <c r="AA32" s="209">
        <v>1552</v>
      </c>
      <c r="AB32" s="209">
        <v>33.929760000000002</v>
      </c>
      <c r="AD32" s="209">
        <v>14314</v>
      </c>
      <c r="AE32" s="213">
        <v>765.26733999999999</v>
      </c>
      <c r="AG32" s="209">
        <v>264</v>
      </c>
      <c r="AH32" s="209">
        <v>28.45</v>
      </c>
      <c r="AJ32" s="209"/>
      <c r="AK32" s="213">
        <v>4.1130100000000001</v>
      </c>
      <c r="AM32" s="209">
        <v>2902</v>
      </c>
      <c r="AN32" s="209"/>
      <c r="AP32" s="153">
        <v>400</v>
      </c>
      <c r="AQ32" s="153">
        <v>102</v>
      </c>
      <c r="AS32" s="214">
        <v>325.2</v>
      </c>
      <c r="AT32" s="214">
        <v>214</v>
      </c>
      <c r="AY32" s="211"/>
      <c r="AZ32" s="211"/>
      <c r="BC32" s="215"/>
      <c r="BE32" s="216">
        <v>380</v>
      </c>
      <c r="BF32" s="209">
        <v>0</v>
      </c>
      <c r="BH32" s="217"/>
      <c r="BI32" s="209"/>
      <c r="BL32" s="216"/>
      <c r="BN32" s="209"/>
      <c r="BO32" s="209">
        <v>20</v>
      </c>
      <c r="BQ32" s="212"/>
      <c r="BR32" s="214">
        <v>13.81555</v>
      </c>
      <c r="BZ32" s="218">
        <v>55708.769</v>
      </c>
      <c r="CA32" s="209">
        <v>4830.7709999999997</v>
      </c>
      <c r="CC32" s="216">
        <v>26193.4</v>
      </c>
      <c r="CD32" s="216">
        <v>4365.5829999999996</v>
      </c>
      <c r="CE32" s="214"/>
      <c r="CF32" s="218">
        <v>2800</v>
      </c>
      <c r="CG32" s="209">
        <v>0</v>
      </c>
      <c r="CH32" s="214"/>
      <c r="CI32" s="209">
        <v>20988.289000000001</v>
      </c>
      <c r="CJ32" s="209">
        <v>226.78800000000001</v>
      </c>
      <c r="CK32" s="214"/>
      <c r="CL32" s="209">
        <v>5727.08</v>
      </c>
      <c r="CM32" s="209">
        <v>238.4</v>
      </c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DA32" s="212"/>
      <c r="DB32" s="212"/>
      <c r="DD32" s="208"/>
      <c r="DE32" s="218">
        <v>0</v>
      </c>
      <c r="DG32" s="218">
        <v>86467.619000000006</v>
      </c>
      <c r="DH32" s="218">
        <v>8044.3139600000004</v>
      </c>
      <c r="DJ32" s="214">
        <v>18659.286</v>
      </c>
      <c r="DK32" s="208">
        <v>1993.6542099999999</v>
      </c>
      <c r="DM32" s="209">
        <v>18579.286</v>
      </c>
      <c r="DN32" s="209">
        <v>1993.6542099999999</v>
      </c>
      <c r="DP32" s="218"/>
      <c r="DQ32" s="216"/>
      <c r="DS32" s="209">
        <v>80</v>
      </c>
      <c r="DT32" s="209"/>
      <c r="DV32" s="209">
        <v>0</v>
      </c>
      <c r="DW32" s="218">
        <v>0</v>
      </c>
      <c r="DY32" s="208">
        <v>1682.5</v>
      </c>
      <c r="DZ32" s="208">
        <v>141.53659999999999</v>
      </c>
      <c r="EB32" s="209">
        <v>191.3</v>
      </c>
      <c r="EC32" s="218">
        <v>8.5</v>
      </c>
      <c r="EE32" s="214">
        <v>29388.388999999999</v>
      </c>
      <c r="EF32" s="208">
        <v>1077.7133699999999</v>
      </c>
      <c r="EH32" s="208">
        <v>15404.812</v>
      </c>
      <c r="EI32" s="208">
        <v>1328.9402500000001</v>
      </c>
      <c r="EK32" s="208">
        <v>24128.7</v>
      </c>
      <c r="EL32" s="208">
        <v>3489.1705299999999</v>
      </c>
      <c r="EN32" s="209">
        <v>0</v>
      </c>
      <c r="EO32" s="209">
        <v>0</v>
      </c>
      <c r="EQ32" s="209">
        <v>112</v>
      </c>
      <c r="ER32" s="219">
        <v>4.8</v>
      </c>
      <c r="ET32" s="209"/>
      <c r="EU32" s="209"/>
      <c r="EW32" s="214"/>
    </row>
    <row r="33" spans="3:155" ht="24" hidden="1" customHeight="1">
      <c r="C33" s="209">
        <f>C32-C31</f>
        <v>-50020.239689999988</v>
      </c>
      <c r="D33" s="209">
        <f t="shared" ref="D33:BO33" si="56">D32-D31</f>
        <v>-11930.548630000005</v>
      </c>
      <c r="E33" s="209"/>
      <c r="F33" s="209">
        <f t="shared" si="56"/>
        <v>-9657.2685700000002</v>
      </c>
      <c r="G33" s="209">
        <f t="shared" si="56"/>
        <v>-4448.673749999999</v>
      </c>
      <c r="H33" s="209"/>
      <c r="I33" s="209">
        <f t="shared" si="56"/>
        <v>-1273.6999999999989</v>
      </c>
      <c r="J33" s="209">
        <f t="shared" si="56"/>
        <v>-654.78734000000043</v>
      </c>
      <c r="K33" s="209"/>
      <c r="L33" s="209">
        <f t="shared" si="56"/>
        <v>-400.58499999999913</v>
      </c>
      <c r="M33" s="209">
        <f t="shared" si="56"/>
        <v>-778.4762599999998</v>
      </c>
      <c r="N33" s="209"/>
      <c r="O33" s="209">
        <f t="shared" si="56"/>
        <v>39.427</v>
      </c>
      <c r="P33" s="209">
        <f t="shared" si="56"/>
        <v>-1.7707099999999993</v>
      </c>
      <c r="Q33" s="209"/>
      <c r="R33" s="209">
        <f t="shared" si="56"/>
        <v>193.04299999999876</v>
      </c>
      <c r="S33" s="209">
        <f t="shared" si="56"/>
        <v>-1107.3795900000002</v>
      </c>
      <c r="T33" s="209"/>
      <c r="U33" s="209">
        <f t="shared" si="56"/>
        <v>0</v>
      </c>
      <c r="V33" s="209">
        <f t="shared" si="56"/>
        <v>150.02075999999997</v>
      </c>
      <c r="W33" s="209" t="e">
        <f t="shared" si="56"/>
        <v>#DIV/0!</v>
      </c>
      <c r="X33" s="209">
        <f t="shared" si="56"/>
        <v>-20</v>
      </c>
      <c r="Y33" s="209">
        <f t="shared" si="56"/>
        <v>-212.09387999999996</v>
      </c>
      <c r="Z33" s="209"/>
      <c r="AA33" s="209">
        <f t="shared" si="56"/>
        <v>-3479</v>
      </c>
      <c r="AB33" s="209">
        <f t="shared" si="56"/>
        <v>-480.59229000000005</v>
      </c>
      <c r="AC33" s="209"/>
      <c r="AD33" s="209">
        <f t="shared" si="56"/>
        <v>-3405.3772900000004</v>
      </c>
      <c r="AE33" s="209">
        <f t="shared" si="56"/>
        <v>-768.84578000000022</v>
      </c>
      <c r="AF33" s="209"/>
      <c r="AG33" s="209">
        <f t="shared" si="56"/>
        <v>117</v>
      </c>
      <c r="AH33" s="209">
        <f t="shared" si="56"/>
        <v>0.56499999999999773</v>
      </c>
      <c r="AI33" s="209"/>
      <c r="AJ33" s="209">
        <f t="shared" si="56"/>
        <v>0</v>
      </c>
      <c r="AK33" s="209">
        <f t="shared" si="56"/>
        <v>4.1130100000000001</v>
      </c>
      <c r="AL33" s="209"/>
      <c r="AM33" s="209">
        <f t="shared" si="56"/>
        <v>2902</v>
      </c>
      <c r="AN33" s="209">
        <f t="shared" si="56"/>
        <v>0</v>
      </c>
      <c r="AO33" s="209" t="e">
        <f t="shared" si="56"/>
        <v>#DIV/0!</v>
      </c>
      <c r="AP33" s="209">
        <f t="shared" si="56"/>
        <v>-1211.4000000000001</v>
      </c>
      <c r="AQ33" s="209">
        <f t="shared" si="56"/>
        <v>-86.851529999999968</v>
      </c>
      <c r="AR33" s="209"/>
      <c r="AS33" s="209">
        <f t="shared" si="56"/>
        <v>81.5</v>
      </c>
      <c r="AT33" s="209">
        <f t="shared" si="56"/>
        <v>86.00830000000002</v>
      </c>
      <c r="AU33" s="209"/>
      <c r="AV33" s="209">
        <f t="shared" si="56"/>
        <v>0</v>
      </c>
      <c r="AW33" s="209">
        <f t="shared" si="56"/>
        <v>0</v>
      </c>
      <c r="AX33" s="209" t="e">
        <f t="shared" si="56"/>
        <v>#DIV/0!</v>
      </c>
      <c r="AY33" s="209">
        <f t="shared" si="56"/>
        <v>-230</v>
      </c>
      <c r="AZ33" s="209">
        <f t="shared" si="56"/>
        <v>-304.22726</v>
      </c>
      <c r="BA33" s="209"/>
      <c r="BB33" s="209">
        <f t="shared" si="56"/>
        <v>0</v>
      </c>
      <c r="BC33" s="209">
        <f t="shared" si="56"/>
        <v>-6.3845299999999998</v>
      </c>
      <c r="BD33" s="209" t="e">
        <f t="shared" si="56"/>
        <v>#DIV/0!</v>
      </c>
      <c r="BE33" s="209">
        <f t="shared" si="56"/>
        <v>-68.176279999999963</v>
      </c>
      <c r="BF33" s="209">
        <f t="shared" si="56"/>
        <v>-6.399</v>
      </c>
      <c r="BG33" s="209">
        <f t="shared" si="56"/>
        <v>-1.4277864058312055</v>
      </c>
      <c r="BH33" s="209">
        <f t="shared" si="56"/>
        <v>0</v>
      </c>
      <c r="BI33" s="209">
        <f t="shared" si="56"/>
        <v>0</v>
      </c>
      <c r="BJ33" s="209" t="e">
        <f t="shared" si="56"/>
        <v>#DIV/0!</v>
      </c>
      <c r="BK33" s="209">
        <f t="shared" si="56"/>
        <v>0</v>
      </c>
      <c r="BL33" s="209">
        <f t="shared" si="56"/>
        <v>0</v>
      </c>
      <c r="BM33" s="209" t="e">
        <f t="shared" si="56"/>
        <v>#DIV/0!</v>
      </c>
      <c r="BN33" s="209">
        <f t="shared" si="56"/>
        <v>0</v>
      </c>
      <c r="BO33" s="209">
        <f t="shared" si="56"/>
        <v>-36.393550000000005</v>
      </c>
      <c r="BP33" s="209"/>
      <c r="BQ33" s="209">
        <f t="shared" ref="BQ33:DZ33" si="57">BQ32-BQ31</f>
        <v>0</v>
      </c>
      <c r="BR33" s="209">
        <f t="shared" si="57"/>
        <v>18.46555</v>
      </c>
      <c r="BS33" s="209"/>
      <c r="BT33" s="209">
        <f t="shared" si="57"/>
        <v>0</v>
      </c>
      <c r="BU33" s="209">
        <f t="shared" si="57"/>
        <v>0</v>
      </c>
      <c r="BV33" s="209" t="e">
        <f t="shared" si="57"/>
        <v>#DIV/0!</v>
      </c>
      <c r="BW33" s="209">
        <f t="shared" si="57"/>
        <v>0</v>
      </c>
      <c r="BX33" s="209">
        <f t="shared" si="57"/>
        <v>0</v>
      </c>
      <c r="BY33" s="209" t="e">
        <f t="shared" si="57"/>
        <v>#DIV/0!</v>
      </c>
      <c r="BZ33" s="209">
        <f t="shared" si="57"/>
        <v>-40362.971120000002</v>
      </c>
      <c r="CA33" s="209">
        <f t="shared" si="57"/>
        <v>-7481.8748800000003</v>
      </c>
      <c r="CB33" s="209"/>
      <c r="CC33" s="209">
        <f t="shared" si="57"/>
        <v>-2100.6000000000022</v>
      </c>
      <c r="CD33" s="209">
        <f t="shared" si="57"/>
        <v>-2707.7660000000014</v>
      </c>
      <c r="CE33" s="209"/>
      <c r="CF33" s="209">
        <f t="shared" si="57"/>
        <v>-3851.5</v>
      </c>
      <c r="CG33" s="209">
        <f t="shared" si="57"/>
        <v>-337.5</v>
      </c>
      <c r="CH33" s="209"/>
      <c r="CI33" s="209">
        <f t="shared" si="57"/>
        <v>-30562.584790000004</v>
      </c>
      <c r="CJ33" s="209">
        <f t="shared" si="57"/>
        <v>-2816.7489999999998</v>
      </c>
      <c r="CK33" s="209"/>
      <c r="CL33" s="209">
        <f t="shared" si="57"/>
        <v>3525.98</v>
      </c>
      <c r="CM33" s="209">
        <f t="shared" si="57"/>
        <v>-295.60000000000002</v>
      </c>
      <c r="CN33" s="209"/>
      <c r="CO33" s="209">
        <f t="shared" si="57"/>
        <v>-3926.6381300000003</v>
      </c>
      <c r="CP33" s="209">
        <f t="shared" si="57"/>
        <v>0</v>
      </c>
      <c r="CQ33" s="209"/>
      <c r="CR33" s="209">
        <f t="shared" si="57"/>
        <v>-3447.6282000000001</v>
      </c>
      <c r="CS33" s="209">
        <f t="shared" si="57"/>
        <v>-1324.2598800000001</v>
      </c>
      <c r="CT33" s="209"/>
      <c r="CU33" s="209">
        <f t="shared" si="57"/>
        <v>0</v>
      </c>
      <c r="CV33" s="209">
        <f t="shared" si="57"/>
        <v>0</v>
      </c>
      <c r="CW33" s="209" t="e">
        <f t="shared" si="57"/>
        <v>#DIV/0!</v>
      </c>
      <c r="CX33" s="209">
        <f t="shared" si="57"/>
        <v>0</v>
      </c>
      <c r="CY33" s="209">
        <f t="shared" si="57"/>
        <v>0</v>
      </c>
      <c r="CZ33" s="209" t="e">
        <f t="shared" si="57"/>
        <v>#DIV/0!</v>
      </c>
      <c r="DA33" s="209">
        <f t="shared" si="57"/>
        <v>0</v>
      </c>
      <c r="DB33" s="209">
        <f t="shared" si="57"/>
        <v>0</v>
      </c>
      <c r="DC33" s="209" t="e">
        <f t="shared" si="57"/>
        <v>#DIV/0!</v>
      </c>
      <c r="DD33" s="209">
        <f t="shared" si="57"/>
        <v>0</v>
      </c>
      <c r="DE33" s="209">
        <f t="shared" si="57"/>
        <v>0</v>
      </c>
      <c r="DF33" s="209">
        <f t="shared" si="57"/>
        <v>0</v>
      </c>
      <c r="DG33" s="209">
        <f t="shared" si="57"/>
        <v>-56571.687449999969</v>
      </c>
      <c r="DH33" s="209">
        <f t="shared" si="57"/>
        <v>-8644.150529999999</v>
      </c>
      <c r="DI33" s="209"/>
      <c r="DJ33" s="209">
        <f t="shared" si="57"/>
        <v>-3280.025999999998</v>
      </c>
      <c r="DK33" s="209">
        <f t="shared" si="57"/>
        <v>-2306.2854700000007</v>
      </c>
      <c r="DL33" s="209"/>
      <c r="DM33" s="209">
        <f t="shared" si="57"/>
        <v>-2943</v>
      </c>
      <c r="DN33" s="209">
        <f t="shared" si="57"/>
        <v>-2008.3269000000003</v>
      </c>
      <c r="DO33" s="209"/>
      <c r="DP33" s="209">
        <f t="shared" si="57"/>
        <v>0</v>
      </c>
      <c r="DQ33" s="209">
        <f t="shared" si="57"/>
        <v>0</v>
      </c>
      <c r="DR33" s="209" t="e">
        <f t="shared" si="57"/>
        <v>#DIV/0!</v>
      </c>
      <c r="DS33" s="209">
        <f t="shared" si="57"/>
        <v>0</v>
      </c>
      <c r="DT33" s="209">
        <f t="shared" si="57"/>
        <v>0</v>
      </c>
      <c r="DU33" s="209">
        <f t="shared" si="57"/>
        <v>0</v>
      </c>
      <c r="DV33" s="209">
        <f t="shared" si="57"/>
        <v>-337.02599999999995</v>
      </c>
      <c r="DW33" s="209">
        <f t="shared" si="57"/>
        <v>-297.95857000000001</v>
      </c>
      <c r="DX33" s="209"/>
      <c r="DY33" s="209">
        <f t="shared" si="57"/>
        <v>-476.19999999999982</v>
      </c>
      <c r="DZ33" s="209">
        <f t="shared" si="57"/>
        <v>-265.09500000000003</v>
      </c>
      <c r="EA33" s="209"/>
      <c r="EB33" s="209">
        <f t="shared" ref="EB33:EX33" si="58">EB32-EB31</f>
        <v>10.419999999999987</v>
      </c>
      <c r="EC33" s="209">
        <f t="shared" si="58"/>
        <v>-36.250429999999994</v>
      </c>
      <c r="ED33" s="209"/>
      <c r="EE33" s="209">
        <f t="shared" si="58"/>
        <v>-30228.355009999988</v>
      </c>
      <c r="EF33" s="209">
        <f t="shared" si="58"/>
        <v>-3055.5319900000009</v>
      </c>
      <c r="EG33" s="209"/>
      <c r="EH33" s="209">
        <f t="shared" si="58"/>
        <v>-5449.7398000000012</v>
      </c>
      <c r="EI33" s="209">
        <f t="shared" si="58"/>
        <v>-416.91537999999946</v>
      </c>
      <c r="EJ33" s="209"/>
      <c r="EK33" s="209">
        <f t="shared" si="58"/>
        <v>-13983.506640000003</v>
      </c>
      <c r="EL33" s="209">
        <f t="shared" si="58"/>
        <v>-2516.0052599999995</v>
      </c>
      <c r="EM33" s="209"/>
      <c r="EN33" s="209">
        <f t="shared" si="58"/>
        <v>0</v>
      </c>
      <c r="EO33" s="209">
        <f t="shared" si="58"/>
        <v>0</v>
      </c>
      <c r="EP33" s="209"/>
      <c r="EQ33" s="209">
        <f t="shared" si="58"/>
        <v>-64.912000000000006</v>
      </c>
      <c r="ER33" s="209">
        <f t="shared" si="58"/>
        <v>-48.066000000000003</v>
      </c>
      <c r="ES33" s="209"/>
      <c r="ET33" s="209">
        <f t="shared" si="58"/>
        <v>0</v>
      </c>
      <c r="EU33" s="209">
        <f t="shared" si="58"/>
        <v>0</v>
      </c>
      <c r="EV33" s="209"/>
      <c r="EW33" s="209">
        <f t="shared" si="58"/>
        <v>7596.2977599999986</v>
      </c>
      <c r="EX33" s="209">
        <f t="shared" si="58"/>
        <v>-2213.9567400000001</v>
      </c>
      <c r="EY33" s="209"/>
    </row>
    <row r="34" spans="3:155" s="220" customFormat="1" ht="27.75" hidden="1" customHeight="1">
      <c r="C34" s="209">
        <v>135443.00868999999</v>
      </c>
      <c r="D34" s="209">
        <v>18902.42123</v>
      </c>
      <c r="E34" s="209"/>
      <c r="F34" s="209">
        <v>39371.26857</v>
      </c>
      <c r="G34" s="209">
        <v>6589.7753499999999</v>
      </c>
      <c r="H34" s="209"/>
      <c r="I34" s="209">
        <v>5296.7</v>
      </c>
      <c r="J34" s="209">
        <v>1172.6205299999999</v>
      </c>
      <c r="K34" s="209"/>
      <c r="L34" s="209">
        <v>3048.8850000000002</v>
      </c>
      <c r="M34" s="209">
        <v>1053.7562</v>
      </c>
      <c r="N34" s="209"/>
      <c r="O34" s="209">
        <v>32.633000000000003</v>
      </c>
      <c r="P34" s="209">
        <v>7.3626500000000004</v>
      </c>
      <c r="Q34" s="209"/>
      <c r="R34" s="209">
        <v>5092.3969999999999</v>
      </c>
      <c r="S34" s="209">
        <v>1545.0240200000001</v>
      </c>
      <c r="T34" s="209"/>
      <c r="U34" s="209" t="e">
        <f>#REF!-U31</f>
        <v>#REF!</v>
      </c>
      <c r="V34" s="209">
        <v>-207.38727</v>
      </c>
      <c r="W34" s="209"/>
      <c r="X34" s="209">
        <v>470</v>
      </c>
      <c r="Y34" s="209">
        <v>262.66601000000003</v>
      </c>
      <c r="Z34" s="209"/>
      <c r="AA34" s="209">
        <v>5031</v>
      </c>
      <c r="AB34" s="209">
        <v>514.52205000000004</v>
      </c>
      <c r="AC34" s="209"/>
      <c r="AD34" s="209">
        <v>17719.37729</v>
      </c>
      <c r="AE34" s="209">
        <v>1534.11312</v>
      </c>
      <c r="AF34" s="209"/>
      <c r="AG34" s="209">
        <v>147</v>
      </c>
      <c r="AH34" s="209">
        <v>27.885000000000002</v>
      </c>
      <c r="AI34" s="209"/>
      <c r="AJ34" s="209" t="e">
        <f>#REF!-AJ31</f>
        <v>#REF!</v>
      </c>
      <c r="AK34" s="209" t="e">
        <f>#REF!-AK31</f>
        <v>#REF!</v>
      </c>
      <c r="AL34" s="209"/>
      <c r="AM34" s="209" t="e">
        <f>#REF!-AM31</f>
        <v>#REF!</v>
      </c>
      <c r="AN34" s="209" t="e">
        <f>#REF!-AN31</f>
        <v>#REF!</v>
      </c>
      <c r="AO34" s="209"/>
      <c r="AP34" s="209">
        <v>1611.4</v>
      </c>
      <c r="AQ34" s="209">
        <v>188.85153</v>
      </c>
      <c r="AR34" s="209"/>
      <c r="AS34" s="209">
        <v>243.7</v>
      </c>
      <c r="AT34" s="209">
        <v>127.99169999999999</v>
      </c>
      <c r="AU34" s="209"/>
      <c r="AV34" s="209" t="e">
        <f>#REF!-AV31</f>
        <v>#REF!</v>
      </c>
      <c r="AW34" s="209" t="e">
        <f>#REF!-AW31</f>
        <v>#REF!</v>
      </c>
      <c r="AX34" s="209" t="e">
        <f>#REF!-AX31</f>
        <v>#REF!</v>
      </c>
      <c r="AY34" s="209">
        <v>230</v>
      </c>
      <c r="AZ34" s="209">
        <v>304.22726</v>
      </c>
      <c r="BA34" s="209"/>
      <c r="BB34" s="209" t="e">
        <f>#REF!-BB31</f>
        <v>#REF!</v>
      </c>
      <c r="BC34" s="209" t="e">
        <f>#REF!-BC31</f>
        <v>#REF!</v>
      </c>
      <c r="BD34" s="209" t="e">
        <f>#REF!-BD31</f>
        <v>#REF!</v>
      </c>
      <c r="BE34" s="209">
        <v>448.17628000000002</v>
      </c>
      <c r="BF34" s="209">
        <v>6.399</v>
      </c>
      <c r="BG34" s="209"/>
      <c r="BH34" s="209" t="e">
        <f>#REF!-BH31</f>
        <v>#REF!</v>
      </c>
      <c r="BI34" s="209" t="e">
        <f>#REF!-BI31</f>
        <v>#REF!</v>
      </c>
      <c r="BJ34" s="209" t="e">
        <f>#REF!-BJ31</f>
        <v>#REF!</v>
      </c>
      <c r="BK34" s="209" t="e">
        <f>#REF!-BK31</f>
        <v>#REF!</v>
      </c>
      <c r="BL34" s="209" t="e">
        <f>#REF!-BL31</f>
        <v>#REF!</v>
      </c>
      <c r="BM34" s="209" t="e">
        <f>#REF!-BM31</f>
        <v>#REF!</v>
      </c>
      <c r="BN34" s="209">
        <v>0</v>
      </c>
      <c r="BO34" s="209">
        <v>38.87959</v>
      </c>
      <c r="BP34" s="209"/>
      <c r="BQ34" s="209" t="e">
        <f>#REF!-BQ31</f>
        <v>#REF!</v>
      </c>
      <c r="BR34" s="209">
        <v>-4.6500000000000004</v>
      </c>
      <c r="BS34" s="209"/>
      <c r="BT34" s="209" t="e">
        <f>#REF!-BT31</f>
        <v>#REF!</v>
      </c>
      <c r="BU34" s="209" t="e">
        <f>#REF!-BU31</f>
        <v>#REF!</v>
      </c>
      <c r="BV34" s="209" t="e">
        <f>#REF!-BV31</f>
        <v>#REF!</v>
      </c>
      <c r="BW34" s="209" t="e">
        <f>#REF!-BW31</f>
        <v>#REF!</v>
      </c>
      <c r="BX34" s="209" t="e">
        <f>#REF!-BX31</f>
        <v>#REF!</v>
      </c>
      <c r="BY34" s="209" t="e">
        <f>#REF!-BY31</f>
        <v>#REF!</v>
      </c>
      <c r="BZ34" s="209">
        <v>96071.740120000002</v>
      </c>
      <c r="CA34" s="209">
        <v>12312.64588</v>
      </c>
      <c r="CB34" s="209"/>
      <c r="CC34" s="209">
        <v>28294</v>
      </c>
      <c r="CD34" s="209">
        <v>7073.3490000000002</v>
      </c>
      <c r="CE34" s="209"/>
      <c r="CF34" s="209">
        <v>6651.5</v>
      </c>
      <c r="CG34" s="209">
        <v>337.5</v>
      </c>
      <c r="CH34" s="209"/>
      <c r="CI34" s="209">
        <v>51550.873789999998</v>
      </c>
      <c r="CJ34" s="209">
        <v>3043.5369999999998</v>
      </c>
      <c r="CK34" s="209"/>
      <c r="CL34" s="209">
        <v>2201.1</v>
      </c>
      <c r="CM34" s="209">
        <v>534</v>
      </c>
      <c r="CN34" s="209"/>
      <c r="CO34" s="209">
        <v>3926.6381299999998</v>
      </c>
      <c r="CP34" s="209" t="e">
        <f>#REF!-CP31</f>
        <v>#REF!</v>
      </c>
      <c r="CQ34" s="209"/>
      <c r="CR34" s="209">
        <v>3447.6282000000001</v>
      </c>
      <c r="CS34" s="209">
        <v>1324.2598800000001</v>
      </c>
      <c r="CT34" s="209"/>
      <c r="CU34" s="209" t="e">
        <f>#REF!-CU31</f>
        <v>#REF!</v>
      </c>
      <c r="CV34" s="209" t="e">
        <f>-(#REF!-CV31)</f>
        <v>#REF!</v>
      </c>
      <c r="CW34" s="209"/>
      <c r="CX34" s="209" t="e">
        <f>#REF!-CX31</f>
        <v>#REF!</v>
      </c>
      <c r="CY34" s="209" t="e">
        <f>#REF!-CY31</f>
        <v>#REF!</v>
      </c>
      <c r="CZ34" s="209" t="e">
        <f>#REF!-CZ31</f>
        <v>#REF!</v>
      </c>
      <c r="DA34" s="209" t="e">
        <f>#REF!-DA31</f>
        <v>#REF!</v>
      </c>
      <c r="DB34" s="209" t="e">
        <f>#REF!-DB31</f>
        <v>#REF!</v>
      </c>
      <c r="DC34" s="209" t="e">
        <f>#REF!-DC31</f>
        <v>#REF!</v>
      </c>
      <c r="DD34" s="209" t="e">
        <f>#REF!-DD31</f>
        <v>#REF!</v>
      </c>
      <c r="DE34" s="209" t="e">
        <f>#REF!-DE31</f>
        <v>#REF!</v>
      </c>
      <c r="DF34" s="209"/>
      <c r="DG34" s="209">
        <v>143039.30645</v>
      </c>
      <c r="DH34" s="209">
        <v>16688.464489999998</v>
      </c>
      <c r="DI34" s="209"/>
      <c r="DJ34" s="209">
        <v>21939.312000000002</v>
      </c>
      <c r="DK34" s="209">
        <v>4299.9396800000004</v>
      </c>
      <c r="DL34" s="209"/>
      <c r="DM34" s="209">
        <v>21522.286</v>
      </c>
      <c r="DN34" s="209">
        <v>4001.9811100000002</v>
      </c>
      <c r="DO34" s="209"/>
      <c r="DP34" s="209">
        <v>0</v>
      </c>
      <c r="DQ34" s="209">
        <v>0</v>
      </c>
      <c r="DR34" s="209"/>
      <c r="DS34" s="209">
        <v>80</v>
      </c>
      <c r="DT34" s="209" t="e">
        <f>#REF!-DT31</f>
        <v>#REF!</v>
      </c>
      <c r="DU34" s="209"/>
      <c r="DV34" s="209">
        <v>337.02600000000001</v>
      </c>
      <c r="DW34" s="209">
        <v>297.95857000000001</v>
      </c>
      <c r="DX34" s="209"/>
      <c r="DY34" s="209">
        <v>2158.6999999999998</v>
      </c>
      <c r="DZ34" s="209">
        <v>406.63159999999999</v>
      </c>
      <c r="EA34" s="209"/>
      <c r="EB34" s="209">
        <v>180.88</v>
      </c>
      <c r="EC34" s="209">
        <v>44.750430000000001</v>
      </c>
      <c r="ED34" s="209"/>
      <c r="EE34" s="209">
        <v>59616.744010000002</v>
      </c>
      <c r="EF34" s="209">
        <v>4133.2453599999999</v>
      </c>
      <c r="EG34" s="209"/>
      <c r="EH34" s="209">
        <v>20854.551800000001</v>
      </c>
      <c r="EI34" s="209">
        <v>1745.85563</v>
      </c>
      <c r="EJ34" s="209"/>
      <c r="EK34" s="209">
        <v>38112.206639999997</v>
      </c>
      <c r="EL34" s="209">
        <v>6005.1757900000002</v>
      </c>
      <c r="EM34" s="209"/>
      <c r="EN34" s="209">
        <v>0</v>
      </c>
      <c r="EO34" s="209">
        <v>0</v>
      </c>
      <c r="EP34" s="209"/>
      <c r="EQ34" s="209">
        <v>176.91200000000001</v>
      </c>
      <c r="ER34" s="209">
        <v>52.866</v>
      </c>
      <c r="ES34" s="209"/>
      <c r="ET34" s="209" t="e">
        <f>#REF!-ET31</f>
        <v>#REF!</v>
      </c>
      <c r="EU34" s="209" t="e">
        <f>#REF!-EU31</f>
        <v>#REF!</v>
      </c>
      <c r="EV34" s="209"/>
      <c r="EW34" s="209">
        <v>-7596.2977600000004</v>
      </c>
      <c r="EX34" s="209">
        <v>2213.9567400000001</v>
      </c>
    </row>
    <row r="35" spans="3:155">
      <c r="C35" s="209">
        <f>C34-C31</f>
        <v>0</v>
      </c>
      <c r="D35" s="209">
        <f>D34-D31</f>
        <v>0</v>
      </c>
      <c r="E35" s="209"/>
      <c r="F35" s="209">
        <f>F34-F31</f>
        <v>0</v>
      </c>
      <c r="G35" s="209">
        <f>G34-G31</f>
        <v>0</v>
      </c>
      <c r="H35" s="209"/>
      <c r="I35" s="209">
        <f>I34-I31</f>
        <v>0</v>
      </c>
      <c r="J35" s="209">
        <f>J34-J31</f>
        <v>0</v>
      </c>
      <c r="K35" s="209"/>
      <c r="L35" s="209">
        <f>L34-L31</f>
        <v>0</v>
      </c>
      <c r="M35" s="209">
        <f>M34-M31</f>
        <v>0</v>
      </c>
      <c r="N35" s="209"/>
      <c r="O35" s="209">
        <f>O34-O31</f>
        <v>0</v>
      </c>
      <c r="P35" s="209">
        <f>P34-P31</f>
        <v>0</v>
      </c>
      <c r="Q35" s="209"/>
      <c r="R35" s="209">
        <f>R34-R31</f>
        <v>0</v>
      </c>
      <c r="S35" s="209">
        <f>S34-S31</f>
        <v>0</v>
      </c>
      <c r="T35" s="209"/>
      <c r="U35" s="209" t="e">
        <f>U34-U31</f>
        <v>#REF!</v>
      </c>
      <c r="V35" s="209">
        <f>V34-V31</f>
        <v>0</v>
      </c>
      <c r="W35" s="209"/>
      <c r="X35" s="209">
        <f>X34-X31</f>
        <v>0</v>
      </c>
      <c r="Y35" s="209">
        <f>Y34-Y31</f>
        <v>0</v>
      </c>
      <c r="Z35" s="209"/>
      <c r="AA35" s="209">
        <f>AA34-AA31</f>
        <v>0</v>
      </c>
      <c r="AB35" s="209">
        <f>AB34-AB31</f>
        <v>0</v>
      </c>
      <c r="AC35" s="209"/>
      <c r="AD35" s="209">
        <f>AD34-AD31</f>
        <v>0</v>
      </c>
      <c r="AE35" s="209">
        <f>AE34-AE31</f>
        <v>0</v>
      </c>
      <c r="AF35" s="209"/>
      <c r="AG35" s="209">
        <f>AG34-AG31</f>
        <v>0</v>
      </c>
      <c r="AH35" s="209">
        <f>AH34-AH31</f>
        <v>0</v>
      </c>
      <c r="AI35" s="209"/>
      <c r="AJ35" s="209" t="e">
        <f t="shared" ref="AJ35:AQ35" si="59">AJ34-AJ31</f>
        <v>#REF!</v>
      </c>
      <c r="AK35" s="209" t="e">
        <f t="shared" si="59"/>
        <v>#REF!</v>
      </c>
      <c r="AL35" s="209" t="e">
        <f t="shared" si="59"/>
        <v>#DIV/0!</v>
      </c>
      <c r="AM35" s="209" t="e">
        <f t="shared" si="59"/>
        <v>#REF!</v>
      </c>
      <c r="AN35" s="209" t="e">
        <f t="shared" si="59"/>
        <v>#REF!</v>
      </c>
      <c r="AO35" s="209" t="e">
        <f t="shared" si="59"/>
        <v>#DIV/0!</v>
      </c>
      <c r="AP35" s="209">
        <f t="shared" si="59"/>
        <v>0</v>
      </c>
      <c r="AQ35" s="209">
        <f t="shared" si="59"/>
        <v>0</v>
      </c>
      <c r="AR35" s="209"/>
      <c r="AS35" s="209">
        <f>AS34-AS31</f>
        <v>0</v>
      </c>
      <c r="AT35" s="209">
        <f>AT34-AT31</f>
        <v>0</v>
      </c>
      <c r="AU35" s="209"/>
      <c r="AV35" s="209" t="e">
        <f>AV34-AV31</f>
        <v>#REF!</v>
      </c>
      <c r="AW35" s="209" t="e">
        <f>AW34-AW31</f>
        <v>#REF!</v>
      </c>
      <c r="AX35" s="209" t="e">
        <f>AX34-AX31</f>
        <v>#REF!</v>
      </c>
      <c r="AY35" s="209">
        <f>AY34-AY31</f>
        <v>0</v>
      </c>
      <c r="AZ35" s="209">
        <f>AZ34-AZ31</f>
        <v>0</v>
      </c>
      <c r="BA35" s="209"/>
      <c r="BB35" s="209" t="e">
        <f>BB34-BB31</f>
        <v>#REF!</v>
      </c>
      <c r="BC35" s="209" t="e">
        <f>BC34-BC31</f>
        <v>#REF!</v>
      </c>
      <c r="BD35" s="209" t="e">
        <f>BD34-BD31</f>
        <v>#REF!</v>
      </c>
      <c r="BE35" s="209">
        <f>BE34-BE31</f>
        <v>0</v>
      </c>
      <c r="BF35" s="209">
        <f>BF34-BF31</f>
        <v>0</v>
      </c>
      <c r="BG35" s="209"/>
      <c r="BH35" s="209" t="e">
        <f t="shared" ref="BH35:BO35" si="60">BH34-BH31</f>
        <v>#REF!</v>
      </c>
      <c r="BI35" s="209" t="e">
        <f t="shared" si="60"/>
        <v>#REF!</v>
      </c>
      <c r="BJ35" s="209" t="e">
        <f t="shared" si="60"/>
        <v>#REF!</v>
      </c>
      <c r="BK35" s="209" t="e">
        <f t="shared" si="60"/>
        <v>#REF!</v>
      </c>
      <c r="BL35" s="209" t="e">
        <f t="shared" si="60"/>
        <v>#REF!</v>
      </c>
      <c r="BM35" s="209" t="e">
        <f t="shared" si="60"/>
        <v>#REF!</v>
      </c>
      <c r="BN35" s="209">
        <f t="shared" si="60"/>
        <v>0</v>
      </c>
      <c r="BO35" s="209">
        <f t="shared" si="60"/>
        <v>-17.513960000000004</v>
      </c>
      <c r="BP35" s="209"/>
      <c r="BQ35" s="209" t="e">
        <f>BQ34-BQ31</f>
        <v>#REF!</v>
      </c>
      <c r="BR35" s="209">
        <f>BR34-BR31</f>
        <v>0</v>
      </c>
      <c r="BS35" s="209"/>
      <c r="BT35" s="209" t="e">
        <f t="shared" ref="BT35:CA35" si="61">BT34-BT31</f>
        <v>#REF!</v>
      </c>
      <c r="BU35" s="209" t="e">
        <f t="shared" si="61"/>
        <v>#REF!</v>
      </c>
      <c r="BV35" s="209" t="e">
        <f t="shared" si="61"/>
        <v>#REF!</v>
      </c>
      <c r="BW35" s="209" t="e">
        <f t="shared" si="61"/>
        <v>#REF!</v>
      </c>
      <c r="BX35" s="209" t="e">
        <f t="shared" si="61"/>
        <v>#REF!</v>
      </c>
      <c r="BY35" s="209" t="e">
        <f t="shared" si="61"/>
        <v>#REF!</v>
      </c>
      <c r="BZ35" s="209">
        <f t="shared" si="61"/>
        <v>0</v>
      </c>
      <c r="CA35" s="209">
        <f t="shared" si="61"/>
        <v>0</v>
      </c>
      <c r="CB35" s="209"/>
      <c r="CC35" s="209">
        <f>CC34-CC31</f>
        <v>0</v>
      </c>
      <c r="CD35" s="209">
        <f>CD34-CD31</f>
        <v>0</v>
      </c>
      <c r="CE35" s="209"/>
      <c r="CF35" s="209">
        <f>CF34-CF31</f>
        <v>0</v>
      </c>
      <c r="CG35" s="209">
        <f>CG34-CG31</f>
        <v>0</v>
      </c>
      <c r="CH35" s="209"/>
      <c r="CI35" s="209">
        <f>CI34-CI31</f>
        <v>0</v>
      </c>
      <c r="CJ35" s="209">
        <f>CJ34-CJ31</f>
        <v>0</v>
      </c>
      <c r="CK35" s="209"/>
      <c r="CL35" s="209">
        <f>CL34-CL31</f>
        <v>0</v>
      </c>
      <c r="CM35" s="209">
        <f>CM34-CM31</f>
        <v>0</v>
      </c>
      <c r="CN35" s="209"/>
      <c r="CO35" s="209">
        <f>CO34-CO31</f>
        <v>0</v>
      </c>
      <c r="CP35" s="209" t="e">
        <f>CP34-CP31</f>
        <v>#REF!</v>
      </c>
      <c r="CQ35" s="209"/>
      <c r="CR35" s="209">
        <f>CR34-CR31</f>
        <v>0</v>
      </c>
      <c r="CS35" s="209">
        <f>CS34-CS31</f>
        <v>0</v>
      </c>
      <c r="CT35" s="209"/>
      <c r="CU35" s="209" t="e">
        <f>CU34-CU31</f>
        <v>#REF!</v>
      </c>
      <c r="CV35" s="209" t="e">
        <f>CV34-CV31</f>
        <v>#REF!</v>
      </c>
      <c r="CW35" s="209"/>
      <c r="CX35" s="209" t="e">
        <f t="shared" ref="CX35:DH35" si="62">CX34-CX31</f>
        <v>#REF!</v>
      </c>
      <c r="CY35" s="209" t="e">
        <f t="shared" si="62"/>
        <v>#REF!</v>
      </c>
      <c r="CZ35" s="209" t="e">
        <f t="shared" si="62"/>
        <v>#REF!</v>
      </c>
      <c r="DA35" s="209" t="e">
        <f t="shared" si="62"/>
        <v>#REF!</v>
      </c>
      <c r="DB35" s="209" t="e">
        <f t="shared" si="62"/>
        <v>#REF!</v>
      </c>
      <c r="DC35" s="209" t="e">
        <f t="shared" si="62"/>
        <v>#REF!</v>
      </c>
      <c r="DD35" s="209" t="e">
        <f t="shared" si="62"/>
        <v>#REF!</v>
      </c>
      <c r="DE35" s="209" t="e">
        <f t="shared" si="62"/>
        <v>#REF!</v>
      </c>
      <c r="DF35" s="209">
        <f t="shared" si="62"/>
        <v>0</v>
      </c>
      <c r="DG35" s="209">
        <f t="shared" si="62"/>
        <v>0</v>
      </c>
      <c r="DH35" s="209">
        <f t="shared" si="62"/>
        <v>0</v>
      </c>
      <c r="DI35" s="209"/>
      <c r="DJ35" s="209">
        <f>DJ34-DJ31</f>
        <v>0</v>
      </c>
      <c r="DK35" s="209">
        <f>DK34-DK31</f>
        <v>0</v>
      </c>
      <c r="DL35" s="209"/>
      <c r="DM35" s="209">
        <f>DM34-DM31</f>
        <v>0</v>
      </c>
      <c r="DN35" s="209">
        <f>DN34-DN31</f>
        <v>0</v>
      </c>
      <c r="DO35" s="209"/>
      <c r="DP35" s="209">
        <f>DP34-DP31</f>
        <v>0</v>
      </c>
      <c r="DQ35" s="209">
        <f>DQ34-DQ31</f>
        <v>0</v>
      </c>
      <c r="DR35" s="209"/>
      <c r="DS35" s="209">
        <f>DS34-DS31</f>
        <v>0</v>
      </c>
      <c r="DT35" s="209" t="e">
        <f>DT34-DT31</f>
        <v>#REF!</v>
      </c>
      <c r="DU35" s="209"/>
      <c r="DV35" s="209">
        <f>DV34-DV31</f>
        <v>0</v>
      </c>
      <c r="DW35" s="209">
        <f>DW34-DW31</f>
        <v>0</v>
      </c>
      <c r="DX35" s="209"/>
      <c r="DY35" s="209">
        <f>DY34-DY31</f>
        <v>0</v>
      </c>
      <c r="DZ35" s="209">
        <f>DZ34-DZ31</f>
        <v>0</v>
      </c>
      <c r="EA35" s="209"/>
      <c r="EB35" s="209">
        <f>EB34-EB31</f>
        <v>0</v>
      </c>
      <c r="EC35" s="209">
        <f>EC34-EC31</f>
        <v>0</v>
      </c>
      <c r="ED35" s="209"/>
      <c r="EE35" s="209">
        <f>EE34-EE31</f>
        <v>0</v>
      </c>
      <c r="EF35" s="209">
        <f>EF34-EF31</f>
        <v>0</v>
      </c>
      <c r="EG35" s="209"/>
      <c r="EH35" s="209">
        <f>EH34-EH31</f>
        <v>0</v>
      </c>
      <c r="EI35" s="209">
        <f>EI34-EI31</f>
        <v>0</v>
      </c>
      <c r="EJ35" s="209"/>
      <c r="EK35" s="209">
        <f>EK34-EK31</f>
        <v>0</v>
      </c>
      <c r="EL35" s="209">
        <f>EL34-EL31</f>
        <v>0</v>
      </c>
      <c r="EM35" s="209"/>
      <c r="EN35" s="209">
        <f>EN34-EN31</f>
        <v>0</v>
      </c>
      <c r="EO35" s="209">
        <f>EO34-EO31</f>
        <v>0</v>
      </c>
      <c r="EP35" s="209"/>
      <c r="EQ35" s="209">
        <f>EQ34-EQ31</f>
        <v>0</v>
      </c>
      <c r="ER35" s="209">
        <f>ER34-ER31</f>
        <v>0</v>
      </c>
      <c r="ES35" s="209"/>
      <c r="ET35" s="209" t="e">
        <f>ET34-ET31</f>
        <v>#REF!</v>
      </c>
      <c r="EU35" s="209" t="e">
        <f>EU34-EU31</f>
        <v>#REF!</v>
      </c>
      <c r="EV35" s="209"/>
      <c r="EW35" s="209">
        <f>EW34-EW31</f>
        <v>0</v>
      </c>
      <c r="EX35" s="209">
        <f>EX34-EX31</f>
        <v>0</v>
      </c>
      <c r="EY35" s="221"/>
    </row>
  </sheetData>
  <customSheetViews>
    <customSheetView guid="{35821C05-60FE-4C33-8558-8CF10812F6FC}" scale="75" showPageBreaks="1" printArea="1" hiddenRows="1" hiddenColumns="1" view="pageBreakPreview" topLeftCell="A10">
      <pane xSplit="2" ySplit="4" topLeftCell="BE14" activePane="bottomRight" state="frozen"/>
      <selection pane="bottomRight" activeCell="CF39" sqref="CF3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"/>
    </customSheetView>
    <customSheetView guid="{B31C8DB7-3E78-4144-A6B5-8DE36DE63F0E}" scale="75" showPageBreaks="1" printArea="1" hiddenRows="1" hiddenColumns="1" view="pageBreakPreview" topLeftCell="A10">
      <pane xSplit="2" ySplit="4" topLeftCell="C14" activePane="bottomRight" state="frozen"/>
      <selection pane="bottomRight" activeCell="AN22" sqref="AN22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61528DAC-5C4C-48F4-ADE2-8A724B05A086}" scale="75" showPageBreaks="1" printArea="1" hiddenRows="1" hiddenColumns="1" view="pageBreakPreview" topLeftCell="A10">
      <pane xSplit="2" ySplit="4" topLeftCell="EG14" activePane="bottomRight" state="frozen"/>
      <selection pane="bottomRight" activeCell="EX29" sqref="EX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DM10" sqref="A10:XFD10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9"/>
    </customSheetView>
    <customSheetView guid="{5BFCA170-DEAE-4D2C-98A0-1E68B427AC01}" scale="75" showPageBreaks="1" printArea="1" hiddenRows="1" hiddenColumns="1" view="pageBreakPreview" topLeftCell="A10">
      <pane xSplit="2" ySplit="4" topLeftCell="BE14" activePane="bottomRight" state="frozen"/>
      <selection pane="bottomRight" activeCell="CF39" sqref="CF3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0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5" fitToWidth="0" fitToHeight="0" orientation="landscape" r:id="rId11"/>
  <colBreaks count="6" manualBreakCount="6">
    <brk id="17" max="30" man="1"/>
    <brk id="35" max="30" man="1"/>
    <brk id="59" max="30" man="1"/>
    <brk id="92" max="30" man="1"/>
    <brk id="116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362</v>
      </c>
      <c r="AO1" t="s">
        <v>363</v>
      </c>
      <c r="AP1" t="s">
        <v>364</v>
      </c>
      <c r="AS1" t="s">
        <v>365</v>
      </c>
      <c r="AW1">
        <v>187.4</v>
      </c>
      <c r="AX1" t="s">
        <v>366</v>
      </c>
      <c r="AY1" t="s">
        <v>367</v>
      </c>
    </row>
    <row r="2" spans="32:51">
      <c r="AF2" t="s">
        <v>368</v>
      </c>
      <c r="AJ2" t="s">
        <v>369</v>
      </c>
    </row>
    <row r="3" spans="32:51">
      <c r="AF3" t="s">
        <v>371</v>
      </c>
      <c r="AH3" t="s">
        <v>370</v>
      </c>
      <c r="AJ3" t="s">
        <v>371</v>
      </c>
      <c r="AN3" t="s">
        <v>370</v>
      </c>
      <c r="AO3" t="s">
        <v>370</v>
      </c>
      <c r="AP3" t="s">
        <v>370</v>
      </c>
      <c r="AS3" t="s">
        <v>372</v>
      </c>
      <c r="AT3" t="s">
        <v>373</v>
      </c>
      <c r="AU3" t="s">
        <v>374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375</v>
      </c>
      <c r="AU4" t="s">
        <v>376</v>
      </c>
      <c r="AV4" t="s">
        <v>377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378</v>
      </c>
      <c r="AU5" t="s">
        <v>376</v>
      </c>
      <c r="AV5" t="s">
        <v>379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380</v>
      </c>
      <c r="AU6" t="s">
        <v>376</v>
      </c>
      <c r="AV6" t="s">
        <v>379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381</v>
      </c>
      <c r="AU7" t="s">
        <v>376</v>
      </c>
      <c r="AV7" t="s">
        <v>382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383</v>
      </c>
      <c r="AU8" t="s">
        <v>376</v>
      </c>
      <c r="AV8" t="s">
        <v>384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385</v>
      </c>
      <c r="AU9" t="s">
        <v>376</v>
      </c>
      <c r="AV9" t="s">
        <v>386</v>
      </c>
      <c r="AW9" t="s">
        <v>387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388</v>
      </c>
      <c r="AU10" t="s">
        <v>376</v>
      </c>
      <c r="AV10" t="s">
        <v>389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390</v>
      </c>
      <c r="AU11" t="s">
        <v>376</v>
      </c>
      <c r="AV11" t="s">
        <v>391</v>
      </c>
      <c r="AW11" t="s">
        <v>387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392</v>
      </c>
      <c r="AU12" t="s">
        <v>376</v>
      </c>
      <c r="AV12" t="s">
        <v>393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394</v>
      </c>
      <c r="AU13" t="s">
        <v>376</v>
      </c>
      <c r="AV13" t="s">
        <v>395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396</v>
      </c>
      <c r="AU14" t="s">
        <v>376</v>
      </c>
      <c r="AV14" t="s">
        <v>382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397</v>
      </c>
      <c r="AU15" t="s">
        <v>376</v>
      </c>
      <c r="AV15" t="s">
        <v>398</v>
      </c>
      <c r="AW15" t="s">
        <v>399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400</v>
      </c>
      <c r="AU16" t="s">
        <v>376</v>
      </c>
      <c r="AV16" t="s">
        <v>379</v>
      </c>
      <c r="AW16" t="s">
        <v>401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402</v>
      </c>
      <c r="AU17" t="s">
        <v>376</v>
      </c>
      <c r="AV17" t="s">
        <v>403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404</v>
      </c>
      <c r="AU18" t="s">
        <v>376</v>
      </c>
      <c r="AV18" t="s">
        <v>379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405</v>
      </c>
      <c r="AU19" t="s">
        <v>406</v>
      </c>
      <c r="AV19" t="s">
        <v>389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407</v>
      </c>
      <c r="AY20" t="s">
        <v>408</v>
      </c>
    </row>
    <row r="82" hidden="1"/>
    <row r="83" hidden="1"/>
    <row r="84" hidden="1"/>
  </sheetData>
  <customSheetViews>
    <customSheetView guid="{35821C05-60FE-4C33-8558-8CF10812F6FC}" hiddenRows="1" state="hidden">
      <selection activeCell="B100" sqref="B100"/>
      <pageMargins left="0.7" right="0.7" top="0.75" bottom="0.75" header="0.3" footer="0.3"/>
      <pageSetup paperSize="9" orientation="portrait" r:id="rId1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6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8"/>
    </customSheetView>
  </customSheetViews>
  <pageMargins left="0.7" right="0.7" top="0.75" bottom="0.75" header="0.3" footer="0.3"/>
  <pageSetup paperSize="9" orientation="portrait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35821C05-60FE-4C33-8558-8CF10812F6FC}" topLeftCell="A16">
      <pageMargins left="0.7" right="0.7" top="0.75" bottom="0.75" header="0.3" footer="0.3"/>
      <pageSetup paperSize="9" orientation="portrait" r:id="rId1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61528DAC-5C4C-48F4-ADE2-8A724B05A086}" state="hidden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1A52382B-3765-4E8C-903F-6B8919B7242E}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7"/>
  <sheetViews>
    <sheetView tabSelected="1" view="pageBreakPreview" topLeftCell="A34" zoomScale="67" workbookViewId="0">
      <selection activeCell="H53" sqref="H53"/>
    </sheetView>
  </sheetViews>
  <sheetFormatPr defaultRowHeight="15.75"/>
  <cols>
    <col min="1" max="1" width="16.28515625" style="58" customWidth="1"/>
    <col min="2" max="2" width="57.5703125" style="59" customWidth="1"/>
    <col min="3" max="3" width="24.42578125" style="62" customWidth="1"/>
    <col min="4" max="4" width="20.140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532" t="s">
        <v>0</v>
      </c>
      <c r="B1" s="532"/>
      <c r="C1" s="532"/>
      <c r="D1" s="532"/>
      <c r="E1" s="532"/>
      <c r="F1" s="532"/>
    </row>
    <row r="2" spans="1:6">
      <c r="A2" s="532" t="s">
        <v>435</v>
      </c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103" t="s">
        <v>419</v>
      </c>
      <c r="E3" s="72" t="s">
        <v>3</v>
      </c>
      <c r="F3" s="74" t="s">
        <v>4</v>
      </c>
    </row>
    <row r="4" spans="1:6" s="6" customFormat="1" ht="22.5">
      <c r="A4" s="3"/>
      <c r="B4" s="254" t="s">
        <v>5</v>
      </c>
      <c r="C4" s="293">
        <f>C5+C12+C16+C21+C23+C27+C7</f>
        <v>133077.39000000001</v>
      </c>
      <c r="D4" s="293">
        <f>D5+D12+D16+D21+D23+D27+D7</f>
        <v>29832.282010000003</v>
      </c>
      <c r="E4" s="293">
        <f>SUM(D4/C4*100)</f>
        <v>22.417243086898534</v>
      </c>
      <c r="F4" s="293">
        <f>SUM(D4-C4)</f>
        <v>-103245.10799000002</v>
      </c>
    </row>
    <row r="5" spans="1:6" s="6" customFormat="1" ht="22.5">
      <c r="A5" s="68">
        <v>1010000000</v>
      </c>
      <c r="B5" s="254" t="s">
        <v>6</v>
      </c>
      <c r="C5" s="293">
        <f>C6</f>
        <v>110707.3</v>
      </c>
      <c r="D5" s="293">
        <f>D6</f>
        <v>24203.88337</v>
      </c>
      <c r="E5" s="293">
        <f t="shared" ref="E5:E82" si="0">SUM(D5/C5*100)</f>
        <v>21.862951557846682</v>
      </c>
      <c r="F5" s="293">
        <f t="shared" ref="F5:F82" si="1">SUM(D5-C5)</f>
        <v>-86503.416630000007</v>
      </c>
    </row>
    <row r="6" spans="1:6" ht="23.25">
      <c r="A6" s="7">
        <v>1010200001</v>
      </c>
      <c r="B6" s="255" t="s">
        <v>229</v>
      </c>
      <c r="C6" s="294">
        <v>110707.3</v>
      </c>
      <c r="D6" s="360">
        <v>24203.88337</v>
      </c>
      <c r="E6" s="294">
        <f t="shared" ref="E6:E11" si="2">SUM(D6/C6*100)</f>
        <v>21.862951557846682</v>
      </c>
      <c r="F6" s="294">
        <f t="shared" si="1"/>
        <v>-86503.416630000007</v>
      </c>
    </row>
    <row r="7" spans="1:6" ht="37.5">
      <c r="A7" s="68">
        <v>1030000000</v>
      </c>
      <c r="B7" s="256" t="s">
        <v>281</v>
      </c>
      <c r="C7" s="293">
        <f>C8+C10+C9</f>
        <v>4391.8900000000003</v>
      </c>
      <c r="D7" s="293">
        <f>D8+D10+D9+D11</f>
        <v>1288.8647600000002</v>
      </c>
      <c r="E7" s="294">
        <f t="shared" si="2"/>
        <v>29.346471792326312</v>
      </c>
      <c r="F7" s="294">
        <f t="shared" si="1"/>
        <v>-3103.0252399999999</v>
      </c>
    </row>
    <row r="8" spans="1:6" ht="23.25">
      <c r="A8" s="7">
        <v>1030223001</v>
      </c>
      <c r="B8" s="255" t="s">
        <v>283</v>
      </c>
      <c r="C8" s="294">
        <v>1409.797</v>
      </c>
      <c r="D8" s="360">
        <v>566.18907999999999</v>
      </c>
      <c r="E8" s="294">
        <f t="shared" si="2"/>
        <v>40.161035950565932</v>
      </c>
      <c r="F8" s="294">
        <f>SUM(D8-C8)</f>
        <v>-843.60792000000004</v>
      </c>
    </row>
    <row r="9" spans="1:6" ht="23.25">
      <c r="A9" s="7">
        <v>1030224001</v>
      </c>
      <c r="B9" s="255" t="s">
        <v>289</v>
      </c>
      <c r="C9" s="294">
        <v>21.959</v>
      </c>
      <c r="D9" s="360">
        <v>3.9559700000000002</v>
      </c>
      <c r="E9" s="294">
        <f t="shared" si="2"/>
        <v>18.015255703811651</v>
      </c>
      <c r="F9" s="294">
        <f>SUM(D9-C9)</f>
        <v>-18.003029999999999</v>
      </c>
    </row>
    <row r="10" spans="1:6" ht="23.25">
      <c r="A10" s="7">
        <v>1030225001</v>
      </c>
      <c r="B10" s="255" t="s">
        <v>282</v>
      </c>
      <c r="C10" s="294">
        <v>2960.134</v>
      </c>
      <c r="D10" s="360">
        <v>830.15002000000004</v>
      </c>
      <c r="E10" s="294">
        <f t="shared" si="2"/>
        <v>28.044339208968243</v>
      </c>
      <c r="F10" s="294">
        <f t="shared" si="1"/>
        <v>-2129.98398</v>
      </c>
    </row>
    <row r="11" spans="1:6" ht="23.25">
      <c r="A11" s="7">
        <v>1030226001</v>
      </c>
      <c r="B11" s="255" t="s">
        <v>291</v>
      </c>
      <c r="C11" s="294">
        <v>0</v>
      </c>
      <c r="D11" s="360">
        <v>-111.43031000000001</v>
      </c>
      <c r="E11" s="294" t="e">
        <f t="shared" si="2"/>
        <v>#DIV/0!</v>
      </c>
      <c r="F11" s="294">
        <f t="shared" si="1"/>
        <v>-111.43031000000001</v>
      </c>
    </row>
    <row r="12" spans="1:6" s="6" customFormat="1" ht="22.5">
      <c r="A12" s="68">
        <v>1050000000</v>
      </c>
      <c r="B12" s="254" t="s">
        <v>7</v>
      </c>
      <c r="C12" s="293">
        <f>SUM(C13:C15)</f>
        <v>12228.2</v>
      </c>
      <c r="D12" s="293">
        <f>SUM(D13:D15)</f>
        <v>3181.1985200000004</v>
      </c>
      <c r="E12" s="293">
        <f t="shared" si="0"/>
        <v>26.015264061758884</v>
      </c>
      <c r="F12" s="293">
        <f t="shared" si="1"/>
        <v>-9047.0014800000008</v>
      </c>
    </row>
    <row r="13" spans="1:6" ht="23.25">
      <c r="A13" s="7">
        <v>1050200000</v>
      </c>
      <c r="B13" s="257" t="s">
        <v>239</v>
      </c>
      <c r="C13" s="361">
        <v>10831.5</v>
      </c>
      <c r="D13" s="360">
        <v>2528.6048000000001</v>
      </c>
      <c r="E13" s="294">
        <f t="shared" si="0"/>
        <v>23.344918063056824</v>
      </c>
      <c r="F13" s="294">
        <f t="shared" si="1"/>
        <v>-8302.895199999999</v>
      </c>
    </row>
    <row r="14" spans="1:6" ht="23.25" customHeight="1">
      <c r="A14" s="7">
        <v>1050300000</v>
      </c>
      <c r="B14" s="257" t="s">
        <v>230</v>
      </c>
      <c r="C14" s="361">
        <v>1096.7</v>
      </c>
      <c r="D14" s="360">
        <v>612.88738000000001</v>
      </c>
      <c r="E14" s="294">
        <f t="shared" si="0"/>
        <v>55.884688611288411</v>
      </c>
      <c r="F14" s="294">
        <f t="shared" si="1"/>
        <v>-483.81262000000004</v>
      </c>
    </row>
    <row r="15" spans="1:6" ht="37.5">
      <c r="A15" s="7">
        <v>1050400002</v>
      </c>
      <c r="B15" s="255" t="s">
        <v>266</v>
      </c>
      <c r="C15" s="361">
        <v>300</v>
      </c>
      <c r="D15" s="360">
        <v>39.706339999999997</v>
      </c>
      <c r="E15" s="294">
        <f t="shared" si="0"/>
        <v>13.235446666666666</v>
      </c>
      <c r="F15" s="294">
        <f t="shared" si="1"/>
        <v>-260.29365999999999</v>
      </c>
    </row>
    <row r="16" spans="1:6" s="6" customFormat="1" ht="24" customHeight="1">
      <c r="A16" s="68">
        <v>1060000000</v>
      </c>
      <c r="B16" s="254" t="s">
        <v>136</v>
      </c>
      <c r="C16" s="293">
        <f>SUM(C17:C20)</f>
        <v>2050</v>
      </c>
      <c r="D16" s="293">
        <f>SUM(D17:D20)</f>
        <v>209.37182999999999</v>
      </c>
      <c r="E16" s="293">
        <f t="shared" si="0"/>
        <v>10.213259999999998</v>
      </c>
      <c r="F16" s="293">
        <f t="shared" si="1"/>
        <v>-1840.62817</v>
      </c>
    </row>
    <row r="17" spans="1:6" s="6" customFormat="1" ht="18" hidden="1" customHeight="1">
      <c r="A17" s="7">
        <v>1060100000</v>
      </c>
      <c r="B17" s="257" t="s">
        <v>9</v>
      </c>
      <c r="C17" s="294"/>
      <c r="D17" s="360"/>
      <c r="E17" s="293" t="e">
        <f t="shared" si="0"/>
        <v>#DIV/0!</v>
      </c>
      <c r="F17" s="293">
        <f t="shared" si="1"/>
        <v>0</v>
      </c>
    </row>
    <row r="18" spans="1:6" s="6" customFormat="1" ht="17.25" hidden="1" customHeight="1">
      <c r="A18" s="7">
        <v>1060200000</v>
      </c>
      <c r="B18" s="257" t="s">
        <v>123</v>
      </c>
      <c r="C18" s="294"/>
      <c r="D18" s="360"/>
      <c r="E18" s="293" t="e">
        <f t="shared" si="0"/>
        <v>#DIV/0!</v>
      </c>
      <c r="F18" s="293">
        <f t="shared" si="1"/>
        <v>0</v>
      </c>
    </row>
    <row r="19" spans="1:6" s="6" customFormat="1" ht="21.75" customHeight="1">
      <c r="A19" s="7">
        <v>1060400000</v>
      </c>
      <c r="B19" s="257" t="s">
        <v>280</v>
      </c>
      <c r="C19" s="294">
        <v>2050</v>
      </c>
      <c r="D19" s="360">
        <v>209.37182999999999</v>
      </c>
      <c r="E19" s="294">
        <f t="shared" si="0"/>
        <v>10.213259999999998</v>
      </c>
      <c r="F19" s="294">
        <f t="shared" si="1"/>
        <v>-1840.62817</v>
      </c>
    </row>
    <row r="20" spans="1:6" ht="15.75" hidden="1" customHeight="1">
      <c r="A20" s="7">
        <v>1060600000</v>
      </c>
      <c r="B20" s="257" t="s">
        <v>8</v>
      </c>
      <c r="C20" s="294"/>
      <c r="D20" s="360"/>
      <c r="E20" s="294" t="e">
        <f t="shared" si="0"/>
        <v>#DIV/0!</v>
      </c>
      <c r="F20" s="294">
        <f t="shared" si="1"/>
        <v>0</v>
      </c>
    </row>
    <row r="21" spans="1:6" s="6" customFormat="1" ht="42" customHeight="1">
      <c r="A21" s="68">
        <v>1070000000</v>
      </c>
      <c r="B21" s="256" t="s">
        <v>10</v>
      </c>
      <c r="C21" s="293">
        <f>SUM(C22)</f>
        <v>1000</v>
      </c>
      <c r="D21" s="293">
        <f>SUM(D22)</f>
        <v>355.36275999999998</v>
      </c>
      <c r="E21" s="293">
        <f t="shared" si="0"/>
        <v>35.536276000000001</v>
      </c>
      <c r="F21" s="293">
        <f t="shared" si="1"/>
        <v>-644.63724000000002</v>
      </c>
    </row>
    <row r="22" spans="1:6" ht="41.25" customHeight="1">
      <c r="A22" s="7">
        <v>1070102001</v>
      </c>
      <c r="B22" s="255" t="s">
        <v>240</v>
      </c>
      <c r="C22" s="294">
        <v>1000</v>
      </c>
      <c r="D22" s="360">
        <v>355.36275999999998</v>
      </c>
      <c r="E22" s="294">
        <f t="shared" si="0"/>
        <v>35.536276000000001</v>
      </c>
      <c r="F22" s="294">
        <f t="shared" si="1"/>
        <v>-644.63724000000002</v>
      </c>
    </row>
    <row r="23" spans="1:6" s="6" customFormat="1" ht="22.5">
      <c r="A23" s="3">
        <v>1080000000</v>
      </c>
      <c r="B23" s="254" t="s">
        <v>11</v>
      </c>
      <c r="C23" s="293">
        <f>C24+C25+C26</f>
        <v>2700</v>
      </c>
      <c r="D23" s="293">
        <f>D24+D25+D26</f>
        <v>593.60077000000001</v>
      </c>
      <c r="E23" s="293">
        <f t="shared" si="0"/>
        <v>21.985213703703703</v>
      </c>
      <c r="F23" s="293">
        <f t="shared" si="1"/>
        <v>-2106.39923</v>
      </c>
    </row>
    <row r="24" spans="1:6" ht="36.75" customHeight="1">
      <c r="A24" s="7">
        <v>1080300001</v>
      </c>
      <c r="B24" s="255" t="s">
        <v>241</v>
      </c>
      <c r="C24" s="294">
        <v>1900</v>
      </c>
      <c r="D24" s="360">
        <v>422.17077</v>
      </c>
      <c r="E24" s="294">
        <f t="shared" si="0"/>
        <v>22.219514210526317</v>
      </c>
      <c r="F24" s="294">
        <f t="shared" si="1"/>
        <v>-1477.8292300000001</v>
      </c>
    </row>
    <row r="25" spans="1:6" ht="33.75" customHeight="1">
      <c r="A25" s="7">
        <v>1080600001</v>
      </c>
      <c r="B25" s="255" t="s">
        <v>228</v>
      </c>
      <c r="C25" s="294">
        <v>0</v>
      </c>
      <c r="D25" s="360">
        <v>2.75</v>
      </c>
      <c r="E25" s="294" t="e">
        <f>SUM(D25/C25*100)</f>
        <v>#DIV/0!</v>
      </c>
      <c r="F25" s="294">
        <f t="shared" si="1"/>
        <v>2.75</v>
      </c>
    </row>
    <row r="26" spans="1:6" ht="69.75" customHeight="1">
      <c r="A26" s="7">
        <v>1080714001</v>
      </c>
      <c r="B26" s="255" t="s">
        <v>227</v>
      </c>
      <c r="C26" s="294">
        <v>800</v>
      </c>
      <c r="D26" s="360">
        <v>168.68</v>
      </c>
      <c r="E26" s="294">
        <f t="shared" si="0"/>
        <v>21.085000000000001</v>
      </c>
      <c r="F26" s="294">
        <f t="shared" si="1"/>
        <v>-631.31999999999994</v>
      </c>
    </row>
    <row r="27" spans="1:6" s="15" customFormat="1" ht="0.75" customHeight="1">
      <c r="A27" s="68">
        <v>1090000000</v>
      </c>
      <c r="B27" s="256" t="s">
        <v>231</v>
      </c>
      <c r="C27" s="293">
        <f>C28+C29+C30+C31</f>
        <v>0</v>
      </c>
      <c r="D27" s="293">
        <f>D28+D29+D30+D31</f>
        <v>0</v>
      </c>
      <c r="E27" s="294" t="e">
        <f t="shared" si="0"/>
        <v>#DIV/0!</v>
      </c>
      <c r="F27" s="293">
        <f t="shared" si="1"/>
        <v>0</v>
      </c>
    </row>
    <row r="28" spans="1:6" s="15" customFormat="1" ht="17.25" hidden="1" customHeight="1">
      <c r="A28" s="7">
        <v>1090100000</v>
      </c>
      <c r="B28" s="255" t="s">
        <v>125</v>
      </c>
      <c r="C28" s="294">
        <v>0</v>
      </c>
      <c r="D28" s="360">
        <v>0</v>
      </c>
      <c r="E28" s="294" t="e">
        <f t="shared" si="0"/>
        <v>#DIV/0!</v>
      </c>
      <c r="F28" s="294">
        <f t="shared" si="1"/>
        <v>0</v>
      </c>
    </row>
    <row r="29" spans="1:6" s="15" customFormat="1" ht="17.25" hidden="1" customHeight="1">
      <c r="A29" s="7">
        <v>1090400000</v>
      </c>
      <c r="B29" s="255" t="s">
        <v>126</v>
      </c>
      <c r="C29" s="294">
        <v>0</v>
      </c>
      <c r="D29" s="360">
        <v>0</v>
      </c>
      <c r="E29" s="294" t="e">
        <f t="shared" si="0"/>
        <v>#DIV/0!</v>
      </c>
      <c r="F29" s="294">
        <f t="shared" si="1"/>
        <v>0</v>
      </c>
    </row>
    <row r="30" spans="1:6" s="15" customFormat="1" ht="15.75" hidden="1" customHeight="1">
      <c r="A30" s="7">
        <v>1090600000</v>
      </c>
      <c r="B30" s="255" t="s">
        <v>127</v>
      </c>
      <c r="C30" s="294">
        <v>0</v>
      </c>
      <c r="D30" s="360">
        <v>0</v>
      </c>
      <c r="E30" s="294" t="e">
        <f t="shared" si="0"/>
        <v>#DIV/0!</v>
      </c>
      <c r="F30" s="294">
        <f t="shared" si="1"/>
        <v>0</v>
      </c>
    </row>
    <row r="31" spans="1:6" s="15" customFormat="1" ht="42" customHeight="1">
      <c r="A31" s="7">
        <v>1090700000</v>
      </c>
      <c r="B31" s="255" t="s">
        <v>128</v>
      </c>
      <c r="C31" s="294">
        <v>0</v>
      </c>
      <c r="D31" s="360">
        <v>0</v>
      </c>
      <c r="E31" s="294" t="e">
        <f t="shared" si="0"/>
        <v>#DIV/0!</v>
      </c>
      <c r="F31" s="294">
        <f t="shared" si="1"/>
        <v>0</v>
      </c>
    </row>
    <row r="32" spans="1:6" s="6" customFormat="1" ht="33.75" customHeight="1">
      <c r="A32" s="3"/>
      <c r="B32" s="254" t="s">
        <v>13</v>
      </c>
      <c r="C32" s="293">
        <f>C33+C42+C44+C47+C50+C52+C69</f>
        <v>28011.599999999999</v>
      </c>
      <c r="D32" s="293">
        <f>D33+D42+D44+D47+D50+D52+D69</f>
        <v>4745.4373599999999</v>
      </c>
      <c r="E32" s="293">
        <f t="shared" si="0"/>
        <v>16.940972168672978</v>
      </c>
      <c r="F32" s="293">
        <f t="shared" si="1"/>
        <v>-23266.162639999999</v>
      </c>
    </row>
    <row r="33" spans="1:6" s="6" customFormat="1" ht="60.75" customHeight="1">
      <c r="A33" s="3">
        <v>1110000000</v>
      </c>
      <c r="B33" s="256" t="s">
        <v>129</v>
      </c>
      <c r="C33" s="293">
        <f>SUM(C34:C41)</f>
        <v>11511.6</v>
      </c>
      <c r="D33" s="293">
        <f>D35+D36+D37+D39+D38+D34+D41+D40</f>
        <v>3087.4799699999999</v>
      </c>
      <c r="E33" s="293">
        <f t="shared" si="0"/>
        <v>26.82059809235901</v>
      </c>
      <c r="F33" s="293">
        <f t="shared" si="1"/>
        <v>-8424.12003</v>
      </c>
    </row>
    <row r="34" spans="1:6" s="6" customFormat="1" ht="34.5" customHeight="1">
      <c r="A34" s="7">
        <v>1110105005</v>
      </c>
      <c r="B34" s="255" t="s">
        <v>320</v>
      </c>
      <c r="C34" s="294">
        <v>10</v>
      </c>
      <c r="D34" s="294">
        <v>23.658000000000001</v>
      </c>
      <c r="E34" s="294">
        <f t="shared" si="0"/>
        <v>236.58</v>
      </c>
      <c r="F34" s="294">
        <f t="shared" si="1"/>
        <v>13.658000000000001</v>
      </c>
    </row>
    <row r="35" spans="1:6" ht="27.75" customHeight="1">
      <c r="A35" s="7">
        <v>1110305005</v>
      </c>
      <c r="B35" s="257" t="s">
        <v>242</v>
      </c>
      <c r="C35" s="294">
        <v>0</v>
      </c>
      <c r="D35" s="360">
        <v>0</v>
      </c>
      <c r="E35" s="294" t="e">
        <f t="shared" si="0"/>
        <v>#DIV/0!</v>
      </c>
      <c r="F35" s="294">
        <f t="shared" si="1"/>
        <v>0</v>
      </c>
    </row>
    <row r="36" spans="1:6" ht="23.25">
      <c r="A36" s="16">
        <v>1110501101</v>
      </c>
      <c r="B36" s="258" t="s">
        <v>226</v>
      </c>
      <c r="C36" s="361">
        <v>10636.6</v>
      </c>
      <c r="D36" s="360">
        <v>2869.57602</v>
      </c>
      <c r="E36" s="294">
        <f t="shared" si="0"/>
        <v>26.978320327924337</v>
      </c>
      <c r="F36" s="294">
        <f t="shared" si="1"/>
        <v>-7767.0239799999999</v>
      </c>
    </row>
    <row r="37" spans="1:6" ht="20.25" customHeight="1">
      <c r="A37" s="7">
        <v>1110503505</v>
      </c>
      <c r="B37" s="257" t="s">
        <v>225</v>
      </c>
      <c r="C37" s="361">
        <v>350</v>
      </c>
      <c r="D37" s="360">
        <v>75.224419999999995</v>
      </c>
      <c r="E37" s="294">
        <f t="shared" si="0"/>
        <v>21.49269142857143</v>
      </c>
      <c r="F37" s="294">
        <f t="shared" si="1"/>
        <v>-274.77557999999999</v>
      </c>
    </row>
    <row r="38" spans="1:6" ht="131.25">
      <c r="A38" s="7">
        <v>1110502000</v>
      </c>
      <c r="B38" s="255" t="s">
        <v>277</v>
      </c>
      <c r="C38" s="362">
        <v>0</v>
      </c>
      <c r="D38" s="360">
        <v>0</v>
      </c>
      <c r="E38" s="294" t="e">
        <f t="shared" si="0"/>
        <v>#DIV/0!</v>
      </c>
      <c r="F38" s="294">
        <f t="shared" si="1"/>
        <v>0</v>
      </c>
    </row>
    <row r="39" spans="1:6" s="15" customFormat="1" ht="23.25">
      <c r="A39" s="7">
        <v>1110701505</v>
      </c>
      <c r="B39" s="257" t="s">
        <v>243</v>
      </c>
      <c r="C39" s="361">
        <v>20</v>
      </c>
      <c r="D39" s="360">
        <v>26.303000000000001</v>
      </c>
      <c r="E39" s="294">
        <f t="shared" si="0"/>
        <v>131.51500000000001</v>
      </c>
      <c r="F39" s="294">
        <f t="shared" si="1"/>
        <v>6.3030000000000008</v>
      </c>
    </row>
    <row r="40" spans="1:6" s="15" customFormat="1" ht="23.25">
      <c r="A40" s="7">
        <v>1110903000</v>
      </c>
      <c r="B40" s="257" t="s">
        <v>410</v>
      </c>
      <c r="C40" s="361">
        <v>0</v>
      </c>
      <c r="D40" s="360">
        <v>0</v>
      </c>
      <c r="E40" s="294" t="e">
        <f>SUM(D40/C40*100)</f>
        <v>#DIV/0!</v>
      </c>
      <c r="F40" s="294">
        <f>SUM(D40-C40)</f>
        <v>0</v>
      </c>
    </row>
    <row r="41" spans="1:6" s="15" customFormat="1" ht="23.25">
      <c r="A41" s="7">
        <v>1110904505</v>
      </c>
      <c r="B41" s="257" t="s">
        <v>334</v>
      </c>
      <c r="C41" s="361">
        <v>495</v>
      </c>
      <c r="D41" s="360">
        <v>92.718530000000001</v>
      </c>
      <c r="E41" s="294">
        <f t="shared" si="0"/>
        <v>18.731016161616161</v>
      </c>
      <c r="F41" s="294">
        <f t="shared" si="1"/>
        <v>-402.28147000000001</v>
      </c>
    </row>
    <row r="42" spans="1:6" s="15" customFormat="1" ht="37.5">
      <c r="A42" s="68">
        <v>1120000000</v>
      </c>
      <c r="B42" s="256" t="s">
        <v>130</v>
      </c>
      <c r="C42" s="363">
        <f>C43</f>
        <v>600</v>
      </c>
      <c r="D42" s="363">
        <f>D43</f>
        <v>255.98585</v>
      </c>
      <c r="E42" s="293">
        <f t="shared" si="0"/>
        <v>42.664308333333331</v>
      </c>
      <c r="F42" s="293">
        <f t="shared" si="1"/>
        <v>-344.01414999999997</v>
      </c>
    </row>
    <row r="43" spans="1:6" s="15" customFormat="1" ht="37.5">
      <c r="A43" s="7">
        <v>1120100001</v>
      </c>
      <c r="B43" s="255" t="s">
        <v>244</v>
      </c>
      <c r="C43" s="294">
        <v>600</v>
      </c>
      <c r="D43" s="360">
        <v>255.98585</v>
      </c>
      <c r="E43" s="294">
        <f t="shared" si="0"/>
        <v>42.664308333333331</v>
      </c>
      <c r="F43" s="294">
        <f t="shared" si="1"/>
        <v>-344.01414999999997</v>
      </c>
    </row>
    <row r="44" spans="1:6" s="253" customFormat="1" ht="21.75" customHeight="1">
      <c r="A44" s="320">
        <v>1130000000</v>
      </c>
      <c r="B44" s="259" t="s">
        <v>131</v>
      </c>
      <c r="C44" s="293">
        <f>C45+C46</f>
        <v>0</v>
      </c>
      <c r="D44" s="293">
        <f>D45+D46</f>
        <v>1.2607900000000001</v>
      </c>
      <c r="E44" s="293" t="e">
        <f t="shared" si="0"/>
        <v>#DIV/0!</v>
      </c>
      <c r="F44" s="293">
        <f t="shared" si="1"/>
        <v>1.2607900000000001</v>
      </c>
    </row>
    <row r="45" spans="1:6" s="15" customFormat="1" ht="36" customHeight="1">
      <c r="A45" s="7">
        <v>1130200000</v>
      </c>
      <c r="B45" s="255" t="s">
        <v>330</v>
      </c>
      <c r="C45" s="294">
        <v>0</v>
      </c>
      <c r="D45" s="294">
        <v>1.2607900000000001</v>
      </c>
      <c r="E45" s="294" t="e">
        <f>SUM(D45/C45*100)</f>
        <v>#DIV/0!</v>
      </c>
      <c r="F45" s="294">
        <f>SUM(D45-C45)</f>
        <v>1.2607900000000001</v>
      </c>
    </row>
    <row r="46" spans="1:6" ht="25.5" customHeight="1">
      <c r="A46" s="7">
        <v>1130305005</v>
      </c>
      <c r="B46" s="255" t="s">
        <v>224</v>
      </c>
      <c r="C46" s="294">
        <v>0</v>
      </c>
      <c r="D46" s="360">
        <v>0</v>
      </c>
      <c r="E46" s="294"/>
      <c r="F46" s="294">
        <f t="shared" si="1"/>
        <v>0</v>
      </c>
    </row>
    <row r="47" spans="1:6" ht="20.25" customHeight="1">
      <c r="A47" s="109">
        <v>1140000000</v>
      </c>
      <c r="B47" s="260" t="s">
        <v>132</v>
      </c>
      <c r="C47" s="293">
        <f>C48+C49</f>
        <v>10300</v>
      </c>
      <c r="D47" s="293">
        <f>D48+D49</f>
        <v>356.10896000000002</v>
      </c>
      <c r="E47" s="293">
        <f t="shared" si="0"/>
        <v>3.4573685436893209</v>
      </c>
      <c r="F47" s="293">
        <f t="shared" si="1"/>
        <v>-9943.8910400000004</v>
      </c>
    </row>
    <row r="48" spans="1:6" ht="23.25">
      <c r="A48" s="16">
        <v>1140200000</v>
      </c>
      <c r="B48" s="261" t="s">
        <v>222</v>
      </c>
      <c r="C48" s="294">
        <v>200</v>
      </c>
      <c r="D48" s="360">
        <v>-88.246399999999994</v>
      </c>
      <c r="E48" s="294">
        <f t="shared" si="0"/>
        <v>-44.123199999999997</v>
      </c>
      <c r="F48" s="294">
        <f t="shared" si="1"/>
        <v>-288.24639999999999</v>
      </c>
    </row>
    <row r="49" spans="1:8" ht="24" customHeight="1">
      <c r="A49" s="7">
        <v>1140600000</v>
      </c>
      <c r="B49" s="255" t="s">
        <v>223</v>
      </c>
      <c r="C49" s="294">
        <v>10100</v>
      </c>
      <c r="D49" s="360">
        <v>444.35536000000002</v>
      </c>
      <c r="E49" s="294">
        <f t="shared" si="0"/>
        <v>4.3995580198019804</v>
      </c>
      <c r="F49" s="294">
        <f t="shared" si="1"/>
        <v>-9655.6446400000004</v>
      </c>
    </row>
    <row r="50" spans="1:8" ht="37.5" hidden="1">
      <c r="A50" s="3">
        <v>1150000000</v>
      </c>
      <c r="B50" s="256" t="s">
        <v>235</v>
      </c>
      <c r="C50" s="293">
        <f>C51</f>
        <v>0</v>
      </c>
      <c r="D50" s="293">
        <f>D51</f>
        <v>0</v>
      </c>
      <c r="E50" s="293" t="e">
        <f t="shared" si="0"/>
        <v>#DIV/0!</v>
      </c>
      <c r="F50" s="293">
        <f t="shared" si="1"/>
        <v>0</v>
      </c>
    </row>
    <row r="51" spans="1:8" ht="56.25" hidden="1">
      <c r="A51" s="7">
        <v>1150205005</v>
      </c>
      <c r="B51" s="255" t="s">
        <v>236</v>
      </c>
      <c r="C51" s="294">
        <v>0</v>
      </c>
      <c r="D51" s="360">
        <v>0</v>
      </c>
      <c r="E51" s="294" t="e">
        <f t="shared" si="0"/>
        <v>#DIV/0!</v>
      </c>
      <c r="F51" s="294">
        <f t="shared" si="1"/>
        <v>0</v>
      </c>
    </row>
    <row r="52" spans="1:8" ht="37.5">
      <c r="A52" s="3">
        <v>1160000000</v>
      </c>
      <c r="B52" s="256" t="s">
        <v>134</v>
      </c>
      <c r="C52" s="293">
        <f>C53+C54+C55+C56+C57+C58+C59+C60+C61+C62+C63+C64+C65+C66+C67+C68</f>
        <v>5600</v>
      </c>
      <c r="D52" s="293">
        <f>D53+D54+D55+D56+D57+D58+D59+D60+D61+D62+D63+D64+D65+D66+D67+D68</f>
        <v>1044.6017899999999</v>
      </c>
      <c r="E52" s="293">
        <f>SUM(D52/C52*100)</f>
        <v>18.653603392857139</v>
      </c>
      <c r="F52" s="293">
        <f t="shared" si="1"/>
        <v>-4555.3982100000003</v>
      </c>
      <c r="H52" s="152"/>
    </row>
    <row r="53" spans="1:8" ht="23.25">
      <c r="A53" s="7">
        <v>1160301001</v>
      </c>
      <c r="B53" s="255" t="s">
        <v>245</v>
      </c>
      <c r="C53" s="294">
        <v>10</v>
      </c>
      <c r="D53" s="485">
        <v>2.85</v>
      </c>
      <c r="E53" s="294">
        <f>SUM(D53/C53*100)</f>
        <v>28.500000000000004</v>
      </c>
      <c r="F53" s="294">
        <f t="shared" si="1"/>
        <v>-7.15</v>
      </c>
    </row>
    <row r="54" spans="1:8" ht="21" customHeight="1">
      <c r="A54" s="7">
        <v>1160303001</v>
      </c>
      <c r="B54" s="255" t="s">
        <v>246</v>
      </c>
      <c r="C54" s="294">
        <v>7</v>
      </c>
      <c r="D54" s="486">
        <v>3.4750000000000001</v>
      </c>
      <c r="E54" s="294">
        <f t="shared" si="0"/>
        <v>49.642857142857146</v>
      </c>
      <c r="F54" s="294">
        <f t="shared" si="1"/>
        <v>-3.5249999999999999</v>
      </c>
    </row>
    <row r="55" spans="1:8" ht="23.25" customHeight="1">
      <c r="A55" s="7">
        <v>1160600000</v>
      </c>
      <c r="B55" s="255" t="s">
        <v>247</v>
      </c>
      <c r="C55" s="418">
        <v>0</v>
      </c>
      <c r="D55" s="486">
        <v>0</v>
      </c>
      <c r="E55" s="294" t="e">
        <f t="shared" si="0"/>
        <v>#DIV/0!</v>
      </c>
      <c r="F55" s="294">
        <f t="shared" si="1"/>
        <v>0</v>
      </c>
    </row>
    <row r="56" spans="1:8" s="15" customFormat="1" ht="48" customHeight="1">
      <c r="A56" s="7">
        <v>1160800001</v>
      </c>
      <c r="B56" s="255" t="s">
        <v>248</v>
      </c>
      <c r="C56" s="294">
        <v>700</v>
      </c>
      <c r="D56" s="486">
        <v>0</v>
      </c>
      <c r="E56" s="294">
        <f t="shared" si="0"/>
        <v>0</v>
      </c>
      <c r="F56" s="294">
        <f t="shared" si="1"/>
        <v>-700</v>
      </c>
    </row>
    <row r="57" spans="1:8" ht="35.25" customHeight="1">
      <c r="A57" s="7">
        <v>1160802001</v>
      </c>
      <c r="B57" s="255" t="s">
        <v>342</v>
      </c>
      <c r="C57" s="418">
        <v>0</v>
      </c>
      <c r="D57" s="360">
        <v>0</v>
      </c>
      <c r="E57" s="294" t="e">
        <f t="shared" si="0"/>
        <v>#DIV/0!</v>
      </c>
      <c r="F57" s="294">
        <f t="shared" si="1"/>
        <v>0</v>
      </c>
    </row>
    <row r="58" spans="1:8" ht="35.25" customHeight="1">
      <c r="A58" s="7">
        <v>1162105005</v>
      </c>
      <c r="B58" s="255" t="s">
        <v>16</v>
      </c>
      <c r="C58" s="294">
        <v>200</v>
      </c>
      <c r="D58" s="360">
        <v>98.427080000000004</v>
      </c>
      <c r="E58" s="294">
        <f t="shared" si="0"/>
        <v>49.213540000000002</v>
      </c>
      <c r="F58" s="294">
        <f t="shared" si="1"/>
        <v>-101.57292</v>
      </c>
    </row>
    <row r="59" spans="1:8" ht="35.25" customHeight="1">
      <c r="A59" s="16">
        <v>1162503001</v>
      </c>
      <c r="B59" s="261" t="s">
        <v>333</v>
      </c>
      <c r="C59" s="294">
        <v>90</v>
      </c>
      <c r="D59" s="360">
        <v>0</v>
      </c>
      <c r="E59" s="294">
        <f t="shared" si="0"/>
        <v>0</v>
      </c>
      <c r="F59" s="294">
        <f t="shared" si="1"/>
        <v>-90</v>
      </c>
    </row>
    <row r="60" spans="1:8" ht="21.75" customHeight="1">
      <c r="A60" s="16">
        <v>1162505001</v>
      </c>
      <c r="B60" s="261" t="s">
        <v>345</v>
      </c>
      <c r="C60" s="294">
        <v>20</v>
      </c>
      <c r="D60" s="360">
        <v>0</v>
      </c>
      <c r="E60" s="294">
        <f t="shared" si="0"/>
        <v>0</v>
      </c>
      <c r="F60" s="294">
        <f t="shared" si="1"/>
        <v>-20</v>
      </c>
    </row>
    <row r="61" spans="1:8" ht="20.25" customHeight="1">
      <c r="A61" s="16">
        <v>1162506001</v>
      </c>
      <c r="B61" s="261" t="s">
        <v>269</v>
      </c>
      <c r="C61" s="294">
        <v>70</v>
      </c>
      <c r="D61" s="360">
        <v>54.926499999999997</v>
      </c>
      <c r="E61" s="294">
        <f t="shared" si="0"/>
        <v>78.466428571428565</v>
      </c>
      <c r="F61" s="294">
        <f t="shared" si="1"/>
        <v>-15.073500000000003</v>
      </c>
    </row>
    <row r="62" spans="1:8" ht="0.75" customHeight="1">
      <c r="A62" s="7">
        <v>1162700001</v>
      </c>
      <c r="B62" s="255" t="s">
        <v>249</v>
      </c>
      <c r="C62" s="294">
        <v>0</v>
      </c>
      <c r="D62" s="360">
        <v>0</v>
      </c>
      <c r="E62" s="294" t="e">
        <f t="shared" si="0"/>
        <v>#DIV/0!</v>
      </c>
      <c r="F62" s="294">
        <f t="shared" si="1"/>
        <v>0</v>
      </c>
    </row>
    <row r="63" spans="1:8" ht="37.5" customHeight="1">
      <c r="A63" s="7">
        <v>1162800001</v>
      </c>
      <c r="B63" s="255" t="s">
        <v>238</v>
      </c>
      <c r="C63" s="294">
        <v>450</v>
      </c>
      <c r="D63" s="360">
        <v>48.141959999999997</v>
      </c>
      <c r="E63" s="294">
        <f>SUM(D63/C63*100)</f>
        <v>10.698213333333333</v>
      </c>
      <c r="F63" s="294">
        <f>SUM(D63-C63)</f>
        <v>-401.85804000000002</v>
      </c>
    </row>
    <row r="64" spans="1:8" ht="36" customHeight="1">
      <c r="A64" s="7">
        <v>1163003001</v>
      </c>
      <c r="B64" s="255" t="s">
        <v>270</v>
      </c>
      <c r="C64" s="294">
        <v>400</v>
      </c>
      <c r="D64" s="360">
        <v>122.5</v>
      </c>
      <c r="E64" s="294">
        <f>SUM(D64/C64*100)</f>
        <v>30.625000000000004</v>
      </c>
      <c r="F64" s="294">
        <f>SUM(D64-C64)</f>
        <v>-277.5</v>
      </c>
    </row>
    <row r="65" spans="1:8" ht="56.25">
      <c r="A65" s="7">
        <v>1164300001</v>
      </c>
      <c r="B65" s="262" t="s">
        <v>262</v>
      </c>
      <c r="C65" s="294">
        <v>320</v>
      </c>
      <c r="D65" s="360">
        <v>54.716540000000002</v>
      </c>
      <c r="E65" s="294">
        <f t="shared" si="0"/>
        <v>17.098918749999999</v>
      </c>
      <c r="F65" s="294">
        <f t="shared" si="1"/>
        <v>-265.28345999999999</v>
      </c>
    </row>
    <row r="66" spans="1:8" ht="73.5" customHeight="1">
      <c r="A66" s="7">
        <v>1163305005</v>
      </c>
      <c r="B66" s="255" t="s">
        <v>17</v>
      </c>
      <c r="C66" s="294">
        <v>0</v>
      </c>
      <c r="D66" s="360">
        <v>0</v>
      </c>
      <c r="E66" s="294" t="e">
        <f t="shared" si="0"/>
        <v>#DIV/0!</v>
      </c>
      <c r="F66" s="294">
        <f t="shared" si="1"/>
        <v>0</v>
      </c>
    </row>
    <row r="67" spans="1:8" ht="23.25">
      <c r="A67" s="7">
        <v>1163500000</v>
      </c>
      <c r="B67" s="255" t="s">
        <v>331</v>
      </c>
      <c r="C67" s="294">
        <v>0</v>
      </c>
      <c r="D67" s="360">
        <v>0</v>
      </c>
      <c r="E67" s="294" t="e">
        <f t="shared" si="0"/>
        <v>#DIV/0!</v>
      </c>
      <c r="F67" s="294">
        <f t="shared" si="1"/>
        <v>0</v>
      </c>
    </row>
    <row r="68" spans="1:8" ht="35.25" customHeight="1">
      <c r="A68" s="7">
        <v>1169000000</v>
      </c>
      <c r="B68" s="255" t="s">
        <v>237</v>
      </c>
      <c r="C68" s="294">
        <v>3333</v>
      </c>
      <c r="D68" s="360">
        <v>659.56470999999999</v>
      </c>
      <c r="E68" s="294">
        <f t="shared" si="0"/>
        <v>19.788920192019201</v>
      </c>
      <c r="F68" s="294">
        <f t="shared" si="1"/>
        <v>-2673.4352899999999</v>
      </c>
    </row>
    <row r="69" spans="1:8" ht="25.5" customHeight="1">
      <c r="A69" s="3">
        <v>1170000000</v>
      </c>
      <c r="B69" s="256" t="s">
        <v>135</v>
      </c>
      <c r="C69" s="293">
        <f>C70+C71</f>
        <v>0</v>
      </c>
      <c r="D69" s="293">
        <f>D70+D71</f>
        <v>0</v>
      </c>
      <c r="E69" s="294" t="e">
        <f t="shared" si="0"/>
        <v>#DIV/0!</v>
      </c>
      <c r="F69" s="293">
        <f t="shared" si="1"/>
        <v>0</v>
      </c>
    </row>
    <row r="70" spans="1:8" ht="23.25">
      <c r="A70" s="7">
        <v>1170105005</v>
      </c>
      <c r="B70" s="255" t="s">
        <v>18</v>
      </c>
      <c r="C70" s="294">
        <v>0</v>
      </c>
      <c r="D70" s="294"/>
      <c r="E70" s="294" t="e">
        <f t="shared" si="0"/>
        <v>#DIV/0!</v>
      </c>
      <c r="F70" s="294">
        <f t="shared" si="1"/>
        <v>0</v>
      </c>
    </row>
    <row r="71" spans="1:8" ht="23.25">
      <c r="A71" s="7">
        <v>1170505005</v>
      </c>
      <c r="B71" s="257" t="s">
        <v>221</v>
      </c>
      <c r="C71" s="294">
        <v>0</v>
      </c>
      <c r="D71" s="360">
        <v>0</v>
      </c>
      <c r="E71" s="294" t="e">
        <f t="shared" si="0"/>
        <v>#DIV/0!</v>
      </c>
      <c r="F71" s="294">
        <f t="shared" si="1"/>
        <v>0</v>
      </c>
    </row>
    <row r="72" spans="1:8" s="6" customFormat="1" ht="22.5">
      <c r="A72" s="3">
        <v>1000000000</v>
      </c>
      <c r="B72" s="254" t="s">
        <v>19</v>
      </c>
      <c r="C72" s="446">
        <f>SUM(C4,C32)</f>
        <v>161088.99000000002</v>
      </c>
      <c r="D72" s="487">
        <f>SUM(D4,D32)</f>
        <v>34577.719370000006</v>
      </c>
      <c r="E72" s="293">
        <f>SUM(D72/C72*100)</f>
        <v>21.464979928175104</v>
      </c>
      <c r="F72" s="293">
        <f>SUM(D72-C72)</f>
        <v>-126511.27063000001</v>
      </c>
      <c r="G72" s="94"/>
      <c r="H72" s="94"/>
    </row>
    <row r="73" spans="1:8" s="6" customFormat="1" ht="30" customHeight="1">
      <c r="A73" s="3">
        <v>2000000000</v>
      </c>
      <c r="B73" s="254" t="s">
        <v>20</v>
      </c>
      <c r="C73" s="293">
        <f>C74+C77+C78+C79+C81+C76+C80</f>
        <v>593063.69530999998</v>
      </c>
      <c r="D73" s="293">
        <f>D74+D77+D78+D79+D81+D76+D80</f>
        <v>70421.387430000002</v>
      </c>
      <c r="E73" s="293">
        <f t="shared" si="0"/>
        <v>11.874169332383442</v>
      </c>
      <c r="F73" s="293">
        <f t="shared" si="1"/>
        <v>-522642.30787999998</v>
      </c>
      <c r="G73" s="94"/>
      <c r="H73" s="94"/>
    </row>
    <row r="74" spans="1:8" ht="21.75" customHeight="1">
      <c r="A74" s="16">
        <v>2021000000</v>
      </c>
      <c r="B74" s="258" t="s">
        <v>21</v>
      </c>
      <c r="C74" s="361">
        <v>27513.7</v>
      </c>
      <c r="D74" s="447">
        <v>482.7</v>
      </c>
      <c r="E74" s="294">
        <f t="shared" si="0"/>
        <v>1.7543987177297129</v>
      </c>
      <c r="F74" s="294">
        <f t="shared" si="1"/>
        <v>-27031</v>
      </c>
    </row>
    <row r="75" spans="1:8" ht="32.25" hidden="1" customHeight="1">
      <c r="A75" s="16">
        <v>2020100905</v>
      </c>
      <c r="B75" s="261" t="s">
        <v>276</v>
      </c>
      <c r="C75" s="361">
        <v>0</v>
      </c>
      <c r="D75" s="447">
        <v>0</v>
      </c>
      <c r="E75" s="294" t="e">
        <f t="shared" si="0"/>
        <v>#DIV/0!</v>
      </c>
      <c r="F75" s="294">
        <f t="shared" si="1"/>
        <v>0</v>
      </c>
    </row>
    <row r="76" spans="1:8" ht="21.75" customHeight="1">
      <c r="A76" s="16">
        <v>2020100310</v>
      </c>
      <c r="B76" s="258" t="s">
        <v>232</v>
      </c>
      <c r="C76" s="361">
        <v>10103.5</v>
      </c>
      <c r="D76" s="447">
        <v>2526</v>
      </c>
      <c r="E76" s="294">
        <f t="shared" si="0"/>
        <v>25.001237195031422</v>
      </c>
      <c r="F76" s="294">
        <f t="shared" si="1"/>
        <v>-7577.5</v>
      </c>
    </row>
    <row r="77" spans="1:8" ht="23.25">
      <c r="A77" s="16">
        <v>2022000000</v>
      </c>
      <c r="B77" s="258" t="s">
        <v>22</v>
      </c>
      <c r="C77" s="361">
        <v>231559.77531</v>
      </c>
      <c r="D77" s="360">
        <v>9741.7759999999998</v>
      </c>
      <c r="E77" s="294">
        <f t="shared" si="0"/>
        <v>4.2070242929533954</v>
      </c>
      <c r="F77" s="294">
        <f t="shared" si="1"/>
        <v>-221817.99930999998</v>
      </c>
    </row>
    <row r="78" spans="1:8" ht="23.25">
      <c r="A78" s="16">
        <v>2023000000</v>
      </c>
      <c r="B78" s="258" t="s">
        <v>23</v>
      </c>
      <c r="C78" s="361">
        <v>328936.52</v>
      </c>
      <c r="D78" s="448">
        <v>81572.485430000001</v>
      </c>
      <c r="E78" s="294">
        <f t="shared" si="0"/>
        <v>24.79885341706661</v>
      </c>
      <c r="F78" s="294">
        <f t="shared" si="1"/>
        <v>-247364.03457000002</v>
      </c>
    </row>
    <row r="79" spans="1:8" ht="19.5" customHeight="1">
      <c r="A79" s="16">
        <v>2024000000</v>
      </c>
      <c r="B79" s="261" t="s">
        <v>24</v>
      </c>
      <c r="C79" s="361">
        <v>23990.7</v>
      </c>
      <c r="D79" s="449">
        <v>5138.9260000000004</v>
      </c>
      <c r="E79" s="294">
        <f t="shared" si="0"/>
        <v>21.420492107358267</v>
      </c>
      <c r="F79" s="294">
        <f t="shared" si="1"/>
        <v>-18851.774000000001</v>
      </c>
    </row>
    <row r="80" spans="1:8" ht="23.25">
      <c r="A80" s="16">
        <v>2180500005</v>
      </c>
      <c r="B80" s="261" t="s">
        <v>325</v>
      </c>
      <c r="C80" s="361">
        <v>0</v>
      </c>
      <c r="D80" s="449">
        <v>0</v>
      </c>
      <c r="E80" s="294" t="e">
        <f t="shared" si="0"/>
        <v>#DIV/0!</v>
      </c>
      <c r="F80" s="294">
        <f t="shared" si="1"/>
        <v>0</v>
      </c>
    </row>
    <row r="81" spans="1:8" ht="22.5" customHeight="1">
      <c r="A81" s="7">
        <v>2196001005</v>
      </c>
      <c r="B81" s="257" t="s">
        <v>26</v>
      </c>
      <c r="C81" s="360">
        <v>-29040.5</v>
      </c>
      <c r="D81" s="360">
        <v>-29040.5</v>
      </c>
      <c r="E81" s="294">
        <f t="shared" si="0"/>
        <v>100</v>
      </c>
      <c r="F81" s="294">
        <f>SUM(D81-C81)</f>
        <v>0</v>
      </c>
    </row>
    <row r="82" spans="1:8" s="6" customFormat="1" ht="56.25" hidden="1">
      <c r="A82" s="3">
        <v>3000000000</v>
      </c>
      <c r="B82" s="256" t="s">
        <v>27</v>
      </c>
      <c r="C82" s="363">
        <v>0</v>
      </c>
      <c r="D82" s="450">
        <v>0</v>
      </c>
      <c r="E82" s="294" t="e">
        <f t="shared" si="0"/>
        <v>#DIV/0!</v>
      </c>
      <c r="F82" s="293">
        <f t="shared" si="1"/>
        <v>0</v>
      </c>
    </row>
    <row r="83" spans="1:8" s="6" customFormat="1" ht="22.5" customHeight="1">
      <c r="A83" s="3"/>
      <c r="B83" s="254" t="s">
        <v>28</v>
      </c>
      <c r="C83" s="468">
        <f>C72+C73</f>
        <v>754152.68530999997</v>
      </c>
      <c r="D83" s="484">
        <f>D72+D73</f>
        <v>104999.10680000001</v>
      </c>
      <c r="E83" s="294">
        <f>SUM(D83/C83*100)</f>
        <v>13.922791610407032</v>
      </c>
      <c r="F83" s="293">
        <f>SUM(D84-C83)</f>
        <v>-787302.90164000005</v>
      </c>
      <c r="G83" s="321"/>
      <c r="H83" s="94"/>
    </row>
    <row r="84" spans="1:8" s="6" customFormat="1" ht="22.5">
      <c r="A84" s="3"/>
      <c r="B84" s="263" t="s">
        <v>321</v>
      </c>
      <c r="C84" s="454">
        <f>C83-C144</f>
        <v>-31898.351569999941</v>
      </c>
      <c r="D84" s="293">
        <f>D83-D144</f>
        <v>-33150.216330000025</v>
      </c>
      <c r="E84" s="295"/>
      <c r="F84" s="295"/>
      <c r="G84" s="94"/>
      <c r="H84" s="94"/>
    </row>
    <row r="85" spans="1:8" ht="23.25">
      <c r="A85" s="23"/>
      <c r="B85" s="24"/>
      <c r="C85" s="364"/>
      <c r="D85" s="364"/>
      <c r="E85" s="296"/>
      <c r="F85" s="296"/>
    </row>
    <row r="86" spans="1:8" ht="90">
      <c r="A86" s="28" t="s">
        <v>1</v>
      </c>
      <c r="B86" s="28" t="s">
        <v>29</v>
      </c>
      <c r="C86" s="297" t="s">
        <v>412</v>
      </c>
      <c r="D86" s="451" t="s">
        <v>436</v>
      </c>
      <c r="E86" s="297" t="s">
        <v>3</v>
      </c>
      <c r="F86" s="298" t="s">
        <v>4</v>
      </c>
    </row>
    <row r="87" spans="1:8" ht="22.5">
      <c r="A87" s="29">
        <v>1</v>
      </c>
      <c r="B87" s="28">
        <v>2</v>
      </c>
      <c r="C87" s="299">
        <v>3</v>
      </c>
      <c r="D87" s="452">
        <v>4</v>
      </c>
      <c r="E87" s="299">
        <v>5</v>
      </c>
      <c r="F87" s="299">
        <v>6</v>
      </c>
    </row>
    <row r="88" spans="1:8" s="6" customFormat="1" ht="22.5">
      <c r="A88" s="30" t="s">
        <v>30</v>
      </c>
      <c r="B88" s="264" t="s">
        <v>31</v>
      </c>
      <c r="C88" s="295">
        <f>SUM(C89:C95)</f>
        <v>44104.93995</v>
      </c>
      <c r="D88" s="295">
        <f>SUM(D89:D95)</f>
        <v>9564.9598900000001</v>
      </c>
      <c r="E88" s="300">
        <f>SUM(D88/C88*100)</f>
        <v>21.686822158341926</v>
      </c>
      <c r="F88" s="300">
        <f>SUM(D88-C88)</f>
        <v>-34539.980060000002</v>
      </c>
    </row>
    <row r="89" spans="1:8" s="6" customFormat="1" ht="37.5">
      <c r="A89" s="35" t="s">
        <v>32</v>
      </c>
      <c r="B89" s="265" t="s">
        <v>33</v>
      </c>
      <c r="C89" s="475">
        <v>50</v>
      </c>
      <c r="D89" s="475">
        <v>0</v>
      </c>
      <c r="E89" s="300">
        <f>SUM(D89/C89*100)</f>
        <v>0</v>
      </c>
      <c r="F89" s="300">
        <f>SUM(D89-C89)</f>
        <v>-50</v>
      </c>
    </row>
    <row r="90" spans="1:8" ht="21.75" customHeight="1">
      <c r="A90" s="35" t="s">
        <v>34</v>
      </c>
      <c r="B90" s="266" t="s">
        <v>35</v>
      </c>
      <c r="C90" s="475">
        <v>22317.662</v>
      </c>
      <c r="D90" s="475">
        <v>4419.5878300000004</v>
      </c>
      <c r="E90" s="301">
        <f t="shared" ref="E90:E144" si="3">SUM(D90/C90*100)</f>
        <v>19.803095100194636</v>
      </c>
      <c r="F90" s="301">
        <f t="shared" ref="F90:F144" si="4">SUM(D90-C90)</f>
        <v>-17898.07417</v>
      </c>
    </row>
    <row r="91" spans="1:8" ht="19.5" customHeight="1">
      <c r="A91" s="35" t="s">
        <v>36</v>
      </c>
      <c r="B91" s="266" t="s">
        <v>37</v>
      </c>
      <c r="C91" s="475">
        <v>10.5</v>
      </c>
      <c r="D91" s="475">
        <v>0</v>
      </c>
      <c r="E91" s="301">
        <f t="shared" si="3"/>
        <v>0</v>
      </c>
      <c r="F91" s="301">
        <f t="shared" si="4"/>
        <v>-10.5</v>
      </c>
    </row>
    <row r="92" spans="1:8" ht="38.25" customHeight="1">
      <c r="A92" s="35" t="s">
        <v>38</v>
      </c>
      <c r="B92" s="266" t="s">
        <v>39</v>
      </c>
      <c r="C92" s="476">
        <v>5040.2</v>
      </c>
      <c r="D92" s="476">
        <v>949.67205999999999</v>
      </c>
      <c r="E92" s="301">
        <f t="shared" si="3"/>
        <v>18.841951906670371</v>
      </c>
      <c r="F92" s="301">
        <f t="shared" si="4"/>
        <v>-4090.5279399999999</v>
      </c>
    </row>
    <row r="93" spans="1:8" ht="18.75" customHeight="1">
      <c r="A93" s="35" t="s">
        <v>40</v>
      </c>
      <c r="B93" s="266" t="s">
        <v>41</v>
      </c>
      <c r="C93" s="475">
        <v>0</v>
      </c>
      <c r="D93" s="475">
        <v>0</v>
      </c>
      <c r="E93" s="301" t="e">
        <f t="shared" si="3"/>
        <v>#DIV/0!</v>
      </c>
      <c r="F93" s="301">
        <f t="shared" si="4"/>
        <v>0</v>
      </c>
    </row>
    <row r="94" spans="1:8" ht="24.75" customHeight="1">
      <c r="A94" s="35" t="s">
        <v>42</v>
      </c>
      <c r="B94" s="266" t="s">
        <v>43</v>
      </c>
      <c r="C94" s="476">
        <v>557.95495000000005</v>
      </c>
      <c r="D94" s="476">
        <v>0</v>
      </c>
      <c r="E94" s="301">
        <f t="shared" si="3"/>
        <v>0</v>
      </c>
      <c r="F94" s="301">
        <f t="shared" si="4"/>
        <v>-557.95495000000005</v>
      </c>
    </row>
    <row r="95" spans="1:8" ht="24" customHeight="1">
      <c r="A95" s="35" t="s">
        <v>44</v>
      </c>
      <c r="B95" s="266" t="s">
        <v>45</v>
      </c>
      <c r="C95" s="475">
        <v>16128.623</v>
      </c>
      <c r="D95" s="475">
        <v>4195.7</v>
      </c>
      <c r="E95" s="301">
        <f t="shared" si="3"/>
        <v>26.014000079238009</v>
      </c>
      <c r="F95" s="301">
        <f t="shared" si="4"/>
        <v>-11932.922999999999</v>
      </c>
    </row>
    <row r="96" spans="1:8" s="6" customFormat="1" ht="22.5">
      <c r="A96" s="41" t="s">
        <v>46</v>
      </c>
      <c r="B96" s="267" t="s">
        <v>47</v>
      </c>
      <c r="C96" s="295">
        <f>C97</f>
        <v>2158.6999999999998</v>
      </c>
      <c r="D96" s="295">
        <f>D97</f>
        <v>534</v>
      </c>
      <c r="E96" s="300">
        <f t="shared" si="3"/>
        <v>24.737110297864458</v>
      </c>
      <c r="F96" s="300">
        <f t="shared" si="4"/>
        <v>-1624.6999999999998</v>
      </c>
    </row>
    <row r="97" spans="1:7" ht="23.25">
      <c r="A97" s="43" t="s">
        <v>48</v>
      </c>
      <c r="B97" s="268" t="s">
        <v>49</v>
      </c>
      <c r="C97" s="475">
        <v>2158.6999999999998</v>
      </c>
      <c r="D97" s="475">
        <v>534</v>
      </c>
      <c r="E97" s="301">
        <f t="shared" si="3"/>
        <v>24.737110297864458</v>
      </c>
      <c r="F97" s="301">
        <f t="shared" si="4"/>
        <v>-1624.6999999999998</v>
      </c>
    </row>
    <row r="98" spans="1:7" s="6" customFormat="1" ht="21" customHeight="1">
      <c r="A98" s="30" t="s">
        <v>50</v>
      </c>
      <c r="B98" s="264" t="s">
        <v>51</v>
      </c>
      <c r="C98" s="295">
        <f>SUM(C100:C103)</f>
        <v>11876.5</v>
      </c>
      <c r="D98" s="295">
        <f>SUM(D100:D103)</f>
        <v>837.91435000000001</v>
      </c>
      <c r="E98" s="300">
        <f t="shared" si="3"/>
        <v>7.0552296552014493</v>
      </c>
      <c r="F98" s="300">
        <f t="shared" si="4"/>
        <v>-11038.585650000001</v>
      </c>
    </row>
    <row r="99" spans="1:7" ht="23.25" hidden="1">
      <c r="A99" s="35" t="s">
        <v>52</v>
      </c>
      <c r="B99" s="266" t="s">
        <v>53</v>
      </c>
      <c r="C99" s="475"/>
      <c r="D99" s="475"/>
      <c r="E99" s="301" t="e">
        <f t="shared" si="3"/>
        <v>#DIV/0!</v>
      </c>
      <c r="F99" s="301">
        <f t="shared" si="4"/>
        <v>0</v>
      </c>
    </row>
    <row r="100" spans="1:7" ht="23.25">
      <c r="A100" s="45" t="s">
        <v>54</v>
      </c>
      <c r="B100" s="266" t="s">
        <v>327</v>
      </c>
      <c r="C100" s="475">
        <v>1808.2</v>
      </c>
      <c r="D100" s="475">
        <v>350</v>
      </c>
      <c r="E100" s="301">
        <f t="shared" si="3"/>
        <v>19.356265899789847</v>
      </c>
      <c r="F100" s="301">
        <f t="shared" si="4"/>
        <v>-1458.2</v>
      </c>
    </row>
    <row r="101" spans="1:7" ht="36.75" customHeight="1">
      <c r="A101" s="46" t="s">
        <v>56</v>
      </c>
      <c r="B101" s="269" t="s">
        <v>57</v>
      </c>
      <c r="C101" s="475">
        <v>2277.8000000000002</v>
      </c>
      <c r="D101" s="475">
        <v>440.76535000000001</v>
      </c>
      <c r="E101" s="301">
        <f t="shared" si="3"/>
        <v>19.350485117218369</v>
      </c>
      <c r="F101" s="301">
        <f t="shared" si="4"/>
        <v>-1837.0346500000001</v>
      </c>
    </row>
    <row r="102" spans="1:7" ht="21" customHeight="1">
      <c r="A102" s="46" t="s">
        <v>219</v>
      </c>
      <c r="B102" s="269" t="s">
        <v>220</v>
      </c>
      <c r="C102" s="475">
        <v>0</v>
      </c>
      <c r="D102" s="475">
        <v>0</v>
      </c>
      <c r="E102" s="301" t="e">
        <f t="shared" si="3"/>
        <v>#DIV/0!</v>
      </c>
      <c r="F102" s="301">
        <f t="shared" si="4"/>
        <v>0</v>
      </c>
    </row>
    <row r="103" spans="1:7" ht="34.5" customHeight="1">
      <c r="A103" s="46" t="s">
        <v>358</v>
      </c>
      <c r="B103" s="269" t="s">
        <v>359</v>
      </c>
      <c r="C103" s="477">
        <v>7790.5</v>
      </c>
      <c r="D103" s="475">
        <v>47.149000000000001</v>
      </c>
      <c r="E103" s="301">
        <f t="shared" si="3"/>
        <v>0.60521147551505039</v>
      </c>
      <c r="F103" s="301">
        <f t="shared" si="4"/>
        <v>-7743.3509999999997</v>
      </c>
    </row>
    <row r="104" spans="1:7" s="6" customFormat="1" ht="25.5" customHeight="1">
      <c r="A104" s="30" t="s">
        <v>58</v>
      </c>
      <c r="B104" s="264" t="s">
        <v>59</v>
      </c>
      <c r="C104" s="478">
        <f>SUM(C106:C109)</f>
        <v>196807.40899999999</v>
      </c>
      <c r="D104" s="478">
        <f>SUM(D106:D109)</f>
        <v>10829.950430000001</v>
      </c>
      <c r="E104" s="300">
        <f t="shared" si="3"/>
        <v>5.5028164259811998</v>
      </c>
      <c r="F104" s="300">
        <f t="shared" si="4"/>
        <v>-185977.45856999999</v>
      </c>
    </row>
    <row r="105" spans="1:7" ht="0.75" hidden="1" customHeight="1">
      <c r="A105" s="35" t="s">
        <v>60</v>
      </c>
      <c r="B105" s="266" t="s">
        <v>61</v>
      </c>
      <c r="C105" s="479">
        <v>0</v>
      </c>
      <c r="D105" s="475">
        <v>0</v>
      </c>
      <c r="E105" s="301" t="e">
        <f t="shared" si="3"/>
        <v>#DIV/0!</v>
      </c>
      <c r="F105" s="301">
        <f t="shared" si="4"/>
        <v>0</v>
      </c>
    </row>
    <row r="106" spans="1:7" s="6" customFormat="1" ht="20.25" customHeight="1">
      <c r="A106" s="35" t="s">
        <v>60</v>
      </c>
      <c r="B106" s="266" t="s">
        <v>324</v>
      </c>
      <c r="C106" s="479">
        <v>61.3</v>
      </c>
      <c r="D106" s="475">
        <v>1.35</v>
      </c>
      <c r="E106" s="301">
        <f t="shared" si="3"/>
        <v>2.2022838499184343</v>
      </c>
      <c r="F106" s="301">
        <f t="shared" si="4"/>
        <v>-59.949999999999996</v>
      </c>
      <c r="G106" s="50"/>
    </row>
    <row r="107" spans="1:7" s="6" customFormat="1" ht="20.25" customHeight="1">
      <c r="A107" s="35" t="s">
        <v>62</v>
      </c>
      <c r="B107" s="266" t="s">
        <v>413</v>
      </c>
      <c r="C107" s="479">
        <v>900</v>
      </c>
      <c r="D107" s="475"/>
      <c r="E107" s="301"/>
      <c r="F107" s="301"/>
      <c r="G107" s="50"/>
    </row>
    <row r="108" spans="1:7" ht="26.25" customHeight="1">
      <c r="A108" s="35" t="s">
        <v>64</v>
      </c>
      <c r="B108" s="266" t="s">
        <v>65</v>
      </c>
      <c r="C108" s="479">
        <v>195016.709</v>
      </c>
      <c r="D108" s="475">
        <v>10655.173430000001</v>
      </c>
      <c r="E108" s="301">
        <f t="shared" si="3"/>
        <v>5.4637233315223268</v>
      </c>
      <c r="F108" s="301">
        <f t="shared" si="4"/>
        <v>-184361.53557000001</v>
      </c>
    </row>
    <row r="109" spans="1:7" ht="38.25">
      <c r="A109" s="35" t="s">
        <v>66</v>
      </c>
      <c r="B109" s="266" t="s">
        <v>67</v>
      </c>
      <c r="C109" s="479">
        <v>829.4</v>
      </c>
      <c r="D109" s="475">
        <v>173.42699999999999</v>
      </c>
      <c r="E109" s="301">
        <f t="shared" si="3"/>
        <v>20.909934892693514</v>
      </c>
      <c r="F109" s="301">
        <f t="shared" si="4"/>
        <v>-655.97299999999996</v>
      </c>
    </row>
    <row r="110" spans="1:7" s="6" customFormat="1" ht="37.5">
      <c r="A110" s="30" t="s">
        <v>68</v>
      </c>
      <c r="B110" s="264" t="s">
        <v>69</v>
      </c>
      <c r="C110" s="295">
        <f>SUM(C111:C113)</f>
        <v>13271.258280000002</v>
      </c>
      <c r="D110" s="295">
        <f>SUM(D111:D113)</f>
        <v>322.49274000000003</v>
      </c>
      <c r="E110" s="300">
        <f t="shared" si="3"/>
        <v>2.4300087692965917</v>
      </c>
      <c r="F110" s="300">
        <f t="shared" si="4"/>
        <v>-12948.765540000002</v>
      </c>
    </row>
    <row r="111" spans="1:7" ht="23.25">
      <c r="A111" s="35" t="s">
        <v>70</v>
      </c>
      <c r="B111" s="270" t="s">
        <v>71</v>
      </c>
      <c r="C111" s="475">
        <v>1010.6</v>
      </c>
      <c r="D111" s="475">
        <v>152.22256999999999</v>
      </c>
      <c r="E111" s="301">
        <f t="shared" si="3"/>
        <v>15.062593508806648</v>
      </c>
      <c r="F111" s="301">
        <f t="shared" si="4"/>
        <v>-858.37743</v>
      </c>
    </row>
    <row r="112" spans="1:7" ht="23.25" customHeight="1">
      <c r="A112" s="35" t="s">
        <v>72</v>
      </c>
      <c r="B112" s="270" t="s">
        <v>73</v>
      </c>
      <c r="C112" s="475">
        <v>3470.3</v>
      </c>
      <c r="D112" s="475">
        <v>170.27017000000001</v>
      </c>
      <c r="E112" s="301">
        <f t="shared" si="3"/>
        <v>4.9064971328127251</v>
      </c>
      <c r="F112" s="301">
        <f t="shared" si="4"/>
        <v>-3300.0298300000004</v>
      </c>
    </row>
    <row r="113" spans="1:7" ht="19.5" customHeight="1">
      <c r="A113" s="35" t="s">
        <v>74</v>
      </c>
      <c r="B113" s="266" t="s">
        <v>75</v>
      </c>
      <c r="C113" s="475">
        <v>8790.3582800000004</v>
      </c>
      <c r="D113" s="475">
        <v>0</v>
      </c>
      <c r="E113" s="301">
        <f t="shared" si="3"/>
        <v>0</v>
      </c>
      <c r="F113" s="301">
        <f t="shared" si="4"/>
        <v>-8790.3582800000004</v>
      </c>
    </row>
    <row r="114" spans="1:7" s="6" customFormat="1" ht="22.5">
      <c r="A114" s="30" t="s">
        <v>76</v>
      </c>
      <c r="B114" s="271" t="s">
        <v>77</v>
      </c>
      <c r="C114" s="478">
        <f>SUM(C115)</f>
        <v>32</v>
      </c>
      <c r="D114" s="478">
        <f>SUM(D115)</f>
        <v>0</v>
      </c>
      <c r="E114" s="300">
        <f t="shared" si="3"/>
        <v>0</v>
      </c>
      <c r="F114" s="300">
        <f t="shared" si="4"/>
        <v>-32</v>
      </c>
    </row>
    <row r="115" spans="1:7" ht="38.25">
      <c r="A115" s="35" t="s">
        <v>78</v>
      </c>
      <c r="B115" s="270" t="s">
        <v>79</v>
      </c>
      <c r="C115" s="301">
        <v>32</v>
      </c>
      <c r="D115" s="476">
        <v>0</v>
      </c>
      <c r="E115" s="301">
        <f t="shared" si="3"/>
        <v>0</v>
      </c>
      <c r="F115" s="301">
        <f t="shared" si="4"/>
        <v>-32</v>
      </c>
    </row>
    <row r="116" spans="1:7" s="6" customFormat="1" ht="22.5">
      <c r="A116" s="30" t="s">
        <v>80</v>
      </c>
      <c r="B116" s="271" t="s">
        <v>81</v>
      </c>
      <c r="C116" s="478">
        <f>SUM(C117:C121)</f>
        <v>375125.35746999999</v>
      </c>
      <c r="D116" s="478">
        <f>D117+D118+D120+D121+D119</f>
        <v>95725.575310000015</v>
      </c>
      <c r="E116" s="300">
        <f t="shared" si="3"/>
        <v>25.51828966071842</v>
      </c>
      <c r="F116" s="300">
        <f t="shared" si="4"/>
        <v>-279399.78215999994</v>
      </c>
    </row>
    <row r="117" spans="1:7" ht="23.25">
      <c r="A117" s="35" t="s">
        <v>82</v>
      </c>
      <c r="B117" s="270" t="s">
        <v>258</v>
      </c>
      <c r="C117" s="479">
        <v>94237.5</v>
      </c>
      <c r="D117" s="475">
        <v>23463.733</v>
      </c>
      <c r="E117" s="301">
        <f t="shared" si="3"/>
        <v>24.898509616660032</v>
      </c>
      <c r="F117" s="301">
        <f t="shared" si="4"/>
        <v>-70773.766999999993</v>
      </c>
    </row>
    <row r="118" spans="1:7" ht="23.25">
      <c r="A118" s="35" t="s">
        <v>83</v>
      </c>
      <c r="B118" s="270" t="s">
        <v>259</v>
      </c>
      <c r="C118" s="479">
        <v>253531.85746999999</v>
      </c>
      <c r="D118" s="475">
        <v>66733.119630000001</v>
      </c>
      <c r="E118" s="301">
        <f t="shared" si="3"/>
        <v>26.321394201080402</v>
      </c>
      <c r="F118" s="301">
        <f t="shared" si="4"/>
        <v>-186798.73783999999</v>
      </c>
    </row>
    <row r="119" spans="1:7" ht="23.25">
      <c r="A119" s="35" t="s">
        <v>335</v>
      </c>
      <c r="B119" s="270" t="s">
        <v>336</v>
      </c>
      <c r="C119" s="479">
        <v>19444.400000000001</v>
      </c>
      <c r="D119" s="475">
        <v>4981.8149999999996</v>
      </c>
      <c r="E119" s="301">
        <f t="shared" si="3"/>
        <v>25.620821419020384</v>
      </c>
      <c r="F119" s="301">
        <f t="shared" si="4"/>
        <v>-14462.585000000003</v>
      </c>
    </row>
    <row r="120" spans="1:7" ht="23.25">
      <c r="A120" s="35" t="s">
        <v>84</v>
      </c>
      <c r="B120" s="270" t="s">
        <v>260</v>
      </c>
      <c r="C120" s="479">
        <v>5403.3</v>
      </c>
      <c r="D120" s="475">
        <v>36.128</v>
      </c>
      <c r="E120" s="301">
        <f t="shared" si="3"/>
        <v>0.66862843077378642</v>
      </c>
      <c r="F120" s="301">
        <f t="shared" si="4"/>
        <v>-5367.1720000000005</v>
      </c>
    </row>
    <row r="121" spans="1:7" ht="23.25">
      <c r="A121" s="35" t="s">
        <v>85</v>
      </c>
      <c r="B121" s="270" t="s">
        <v>261</v>
      </c>
      <c r="C121" s="479">
        <v>2508.3000000000002</v>
      </c>
      <c r="D121" s="475">
        <v>510.77967999999998</v>
      </c>
      <c r="E121" s="301">
        <f t="shared" si="3"/>
        <v>20.363580114021445</v>
      </c>
      <c r="F121" s="301">
        <f t="shared" si="4"/>
        <v>-1997.5203200000001</v>
      </c>
    </row>
    <row r="122" spans="1:7" s="6" customFormat="1" ht="22.5">
      <c r="A122" s="30" t="s">
        <v>86</v>
      </c>
      <c r="B122" s="264" t="s">
        <v>87</v>
      </c>
      <c r="C122" s="295">
        <f>SUM(C123:C124)</f>
        <v>53473.459340000001</v>
      </c>
      <c r="D122" s="295">
        <f>SUM(D123:D124)</f>
        <v>9559.5329500000007</v>
      </c>
      <c r="E122" s="300">
        <f t="shared" si="3"/>
        <v>17.877154513639514</v>
      </c>
      <c r="F122" s="300">
        <f t="shared" si="4"/>
        <v>-43913.926390000001</v>
      </c>
    </row>
    <row r="123" spans="1:7" ht="23.25">
      <c r="A123" s="35" t="s">
        <v>88</v>
      </c>
      <c r="B123" s="266" t="s">
        <v>234</v>
      </c>
      <c r="C123" s="475">
        <v>52373.459340000001</v>
      </c>
      <c r="D123" s="475">
        <v>8895.04709</v>
      </c>
      <c r="E123" s="301">
        <f t="shared" si="3"/>
        <v>16.98388306232513</v>
      </c>
      <c r="F123" s="301">
        <f t="shared" si="4"/>
        <v>-43478.412250000001</v>
      </c>
    </row>
    <row r="124" spans="1:7" ht="38.25">
      <c r="A124" s="35" t="s">
        <v>273</v>
      </c>
      <c r="B124" s="266" t="s">
        <v>274</v>
      </c>
      <c r="C124" s="475">
        <v>1100</v>
      </c>
      <c r="D124" s="475">
        <v>664.48586</v>
      </c>
      <c r="E124" s="301">
        <f t="shared" si="3"/>
        <v>60.407805454545461</v>
      </c>
      <c r="F124" s="301">
        <f t="shared" si="4"/>
        <v>-435.51414</v>
      </c>
    </row>
    <row r="125" spans="1:7" s="6" customFormat="1" ht="22.5">
      <c r="A125" s="52">
        <v>1000</v>
      </c>
      <c r="B125" s="264" t="s">
        <v>89</v>
      </c>
      <c r="C125" s="295">
        <f>SUM(C126:C129)</f>
        <v>43937.620269999999</v>
      </c>
      <c r="D125" s="480">
        <f>D126+D127+D128+D129</f>
        <v>1553.9737099999998</v>
      </c>
      <c r="E125" s="300">
        <f t="shared" si="3"/>
        <v>3.5367725890722208</v>
      </c>
      <c r="F125" s="300">
        <f t="shared" si="4"/>
        <v>-42383.646560000001</v>
      </c>
      <c r="G125" s="94"/>
    </row>
    <row r="126" spans="1:7" ht="23.25">
      <c r="A126" s="53">
        <v>1001</v>
      </c>
      <c r="B126" s="272" t="s">
        <v>90</v>
      </c>
      <c r="C126" s="475">
        <v>60</v>
      </c>
      <c r="D126" s="475">
        <v>9.7931399999999993</v>
      </c>
      <c r="E126" s="301">
        <f t="shared" si="3"/>
        <v>16.321899999999996</v>
      </c>
      <c r="F126" s="301">
        <f t="shared" si="4"/>
        <v>-50.206859999999999</v>
      </c>
    </row>
    <row r="127" spans="1:7" ht="23.25">
      <c r="A127" s="53">
        <v>1003</v>
      </c>
      <c r="B127" s="272" t="s">
        <v>91</v>
      </c>
      <c r="C127" s="475">
        <v>18258.058529999998</v>
      </c>
      <c r="D127" s="475">
        <v>1448.8350399999999</v>
      </c>
      <c r="E127" s="301">
        <f t="shared" si="3"/>
        <v>7.9353181917968136</v>
      </c>
      <c r="F127" s="301">
        <f t="shared" si="4"/>
        <v>-16809.223489999997</v>
      </c>
    </row>
    <row r="128" spans="1:7" ht="23.25">
      <c r="A128" s="53">
        <v>1004</v>
      </c>
      <c r="B128" s="272" t="s">
        <v>92</v>
      </c>
      <c r="C128" s="475">
        <v>25474.16174</v>
      </c>
      <c r="D128" s="481">
        <v>85.609089999999995</v>
      </c>
      <c r="E128" s="301">
        <f t="shared" si="3"/>
        <v>0.33606244191177848</v>
      </c>
      <c r="F128" s="301">
        <f t="shared" si="4"/>
        <v>-25388.552649999998</v>
      </c>
    </row>
    <row r="129" spans="1:8" ht="24.75" customHeight="1">
      <c r="A129" s="35" t="s">
        <v>93</v>
      </c>
      <c r="B129" s="266" t="s">
        <v>94</v>
      </c>
      <c r="C129" s="475">
        <v>145.4</v>
      </c>
      <c r="D129" s="475">
        <v>9.73644</v>
      </c>
      <c r="E129" s="301">
        <f t="shared" si="3"/>
        <v>6.6963136176066014</v>
      </c>
      <c r="F129" s="301">
        <f t="shared" si="4"/>
        <v>-135.66356000000002</v>
      </c>
    </row>
    <row r="130" spans="1:8" ht="23.25">
      <c r="A130" s="30" t="s">
        <v>95</v>
      </c>
      <c r="B130" s="264" t="s">
        <v>96</v>
      </c>
      <c r="C130" s="295">
        <f>C131+C132</f>
        <v>5336.9</v>
      </c>
      <c r="D130" s="295">
        <f>D131+D132</f>
        <v>1810.07475</v>
      </c>
      <c r="E130" s="301">
        <f t="shared" si="3"/>
        <v>33.916220090314603</v>
      </c>
      <c r="F130" s="295">
        <f>F131+F132+F133+F134+F135</f>
        <v>-3526.8252499999994</v>
      </c>
    </row>
    <row r="131" spans="1:8" ht="23.25">
      <c r="A131" s="35" t="s">
        <v>97</v>
      </c>
      <c r="B131" s="266" t="s">
        <v>98</v>
      </c>
      <c r="C131" s="475">
        <v>350</v>
      </c>
      <c r="D131" s="475">
        <v>169.80875</v>
      </c>
      <c r="E131" s="301">
        <f t="shared" si="3"/>
        <v>48.516785714285717</v>
      </c>
      <c r="F131" s="301">
        <f t="shared" ref="F131:F139" si="5">SUM(D131-C131)</f>
        <v>-180.19125</v>
      </c>
    </row>
    <row r="132" spans="1:8" ht="20.25" customHeight="1">
      <c r="A132" s="35" t="s">
        <v>99</v>
      </c>
      <c r="B132" s="266" t="s">
        <v>100</v>
      </c>
      <c r="C132" s="475">
        <v>4986.8999999999996</v>
      </c>
      <c r="D132" s="475">
        <v>1640.2660000000001</v>
      </c>
      <c r="E132" s="301">
        <f t="shared" si="3"/>
        <v>32.891495718783212</v>
      </c>
      <c r="F132" s="301">
        <f t="shared" si="5"/>
        <v>-3346.6339999999996</v>
      </c>
    </row>
    <row r="133" spans="1:8" ht="15.75" hidden="1" customHeight="1">
      <c r="A133" s="35" t="s">
        <v>101</v>
      </c>
      <c r="B133" s="266" t="s">
        <v>102</v>
      </c>
      <c r="C133" s="475">
        <f>SUM(C123:C124)</f>
        <v>53473.459340000001</v>
      </c>
      <c r="D133" s="475"/>
      <c r="E133" s="301">
        <f t="shared" si="3"/>
        <v>0</v>
      </c>
      <c r="F133" s="301"/>
    </row>
    <row r="134" spans="1:8" ht="15.75" hidden="1" customHeight="1">
      <c r="A134" s="35" t="s">
        <v>103</v>
      </c>
      <c r="B134" s="266" t="s">
        <v>104</v>
      </c>
      <c r="C134" s="475"/>
      <c r="D134" s="475"/>
      <c r="E134" s="301" t="e">
        <f t="shared" si="3"/>
        <v>#DIV/0!</v>
      </c>
      <c r="F134" s="301"/>
    </row>
    <row r="135" spans="1:8" ht="15.75" hidden="1" customHeight="1">
      <c r="A135" s="35" t="s">
        <v>105</v>
      </c>
      <c r="B135" s="266" t="s">
        <v>106</v>
      </c>
      <c r="C135" s="475"/>
      <c r="D135" s="475"/>
      <c r="E135" s="301" t="e">
        <f t="shared" si="3"/>
        <v>#DIV/0!</v>
      </c>
      <c r="F135" s="301"/>
    </row>
    <row r="136" spans="1:8" ht="20.25" customHeight="1">
      <c r="A136" s="30" t="s">
        <v>107</v>
      </c>
      <c r="B136" s="264" t="s">
        <v>108</v>
      </c>
      <c r="C136" s="295">
        <f>C137</f>
        <v>45.14</v>
      </c>
      <c r="D136" s="482">
        <f>D137</f>
        <v>0</v>
      </c>
      <c r="E136" s="301">
        <f>SUM(D136/C136*100)</f>
        <v>0</v>
      </c>
      <c r="F136" s="301">
        <f t="shared" si="5"/>
        <v>-45.14</v>
      </c>
    </row>
    <row r="137" spans="1:8" ht="22.5" customHeight="1">
      <c r="A137" s="35" t="s">
        <v>109</v>
      </c>
      <c r="B137" s="266" t="s">
        <v>110</v>
      </c>
      <c r="C137" s="475">
        <v>45.14</v>
      </c>
      <c r="D137" s="475">
        <v>0</v>
      </c>
      <c r="E137" s="301">
        <f t="shared" si="3"/>
        <v>0</v>
      </c>
      <c r="F137" s="301">
        <f t="shared" si="5"/>
        <v>-45.14</v>
      </c>
    </row>
    <row r="138" spans="1:8" ht="19.5" customHeight="1">
      <c r="A138" s="30" t="s">
        <v>111</v>
      </c>
      <c r="B138" s="267" t="s">
        <v>112</v>
      </c>
      <c r="C138" s="483">
        <f>C139</f>
        <v>0</v>
      </c>
      <c r="D138" s="483">
        <v>0</v>
      </c>
      <c r="E138" s="301"/>
      <c r="F138" s="300">
        <f t="shared" si="5"/>
        <v>0</v>
      </c>
    </row>
    <row r="139" spans="1:8" ht="37.5" customHeight="1">
      <c r="A139" s="35" t="s">
        <v>113</v>
      </c>
      <c r="B139" s="268" t="s">
        <v>114</v>
      </c>
      <c r="C139" s="476">
        <v>0</v>
      </c>
      <c r="D139" s="476">
        <v>0</v>
      </c>
      <c r="E139" s="300"/>
      <c r="F139" s="301">
        <f t="shared" si="5"/>
        <v>0</v>
      </c>
    </row>
    <row r="140" spans="1:8" s="6" customFormat="1" ht="19.5" customHeight="1">
      <c r="A140" s="52">
        <v>1400</v>
      </c>
      <c r="B140" s="273" t="s">
        <v>115</v>
      </c>
      <c r="C140" s="478">
        <f>C141+C142+C143</f>
        <v>39881.752569999997</v>
      </c>
      <c r="D140" s="478">
        <f>D141+D142+D143</f>
        <v>7410.8490000000002</v>
      </c>
      <c r="E140" s="300">
        <f t="shared" si="3"/>
        <v>18.582054504732614</v>
      </c>
      <c r="F140" s="300">
        <f t="shared" si="4"/>
        <v>-32470.903569999995</v>
      </c>
    </row>
    <row r="141" spans="1:8" ht="40.5" customHeight="1">
      <c r="A141" s="53">
        <v>1401</v>
      </c>
      <c r="B141" s="272" t="s">
        <v>116</v>
      </c>
      <c r="C141" s="479">
        <v>28294</v>
      </c>
      <c r="D141" s="475">
        <v>7073.3490000000002</v>
      </c>
      <c r="E141" s="301">
        <f t="shared" si="3"/>
        <v>24.99946631794727</v>
      </c>
      <c r="F141" s="301">
        <f t="shared" si="4"/>
        <v>-21220.650999999998</v>
      </c>
    </row>
    <row r="142" spans="1:8" ht="24.75" customHeight="1">
      <c r="A142" s="53">
        <v>1402</v>
      </c>
      <c r="B142" s="272" t="s">
        <v>117</v>
      </c>
      <c r="C142" s="479">
        <v>5381.5</v>
      </c>
      <c r="D142" s="475">
        <v>337.5</v>
      </c>
      <c r="E142" s="301">
        <f t="shared" si="3"/>
        <v>6.2714856452661891</v>
      </c>
      <c r="F142" s="301">
        <f t="shared" si="4"/>
        <v>-5044</v>
      </c>
    </row>
    <row r="143" spans="1:8" ht="27" customHeight="1">
      <c r="A143" s="53">
        <v>1403</v>
      </c>
      <c r="B143" s="272" t="s">
        <v>118</v>
      </c>
      <c r="C143" s="479">
        <v>6206.2525699999997</v>
      </c>
      <c r="D143" s="475">
        <v>0</v>
      </c>
      <c r="E143" s="301">
        <f t="shared" si="3"/>
        <v>0</v>
      </c>
      <c r="F143" s="301">
        <f t="shared" si="4"/>
        <v>-6206.2525699999997</v>
      </c>
    </row>
    <row r="144" spans="1:8" s="6" customFormat="1" ht="22.5">
      <c r="A144" s="52"/>
      <c r="B144" s="274" t="s">
        <v>119</v>
      </c>
      <c r="C144" s="484">
        <f>C88+C96+C98+C104+C110+C114+C116+C122+C125+C130+C136+C138+C140</f>
        <v>786051.03687999991</v>
      </c>
      <c r="D144" s="484">
        <f>D88+D96+D98+D104+D110+D114+D116+D122+D125+D130+D136+D138+D140</f>
        <v>138149.32313000003</v>
      </c>
      <c r="E144" s="300">
        <f t="shared" si="3"/>
        <v>17.575108567802854</v>
      </c>
      <c r="F144" s="300">
        <f t="shared" si="4"/>
        <v>-647901.71374999988</v>
      </c>
      <c r="G144" s="94"/>
      <c r="H144" s="94"/>
    </row>
    <row r="145" spans="1:4">
      <c r="C145" s="365"/>
      <c r="D145" s="453"/>
    </row>
    <row r="146" spans="1:4" s="65" customFormat="1" ht="12.75">
      <c r="A146" s="63" t="s">
        <v>120</v>
      </c>
      <c r="B146" s="63"/>
      <c r="C146" s="134"/>
      <c r="D146" s="134"/>
    </row>
    <row r="147" spans="1:4" s="65" customFormat="1" ht="12.75">
      <c r="A147" s="66" t="s">
        <v>121</v>
      </c>
      <c r="B147" s="66"/>
      <c r="C147" s="134" t="s">
        <v>122</v>
      </c>
      <c r="D147" s="134"/>
    </row>
  </sheetData>
  <customSheetViews>
    <customSheetView guid="{35821C05-60FE-4C33-8558-8CF10812F6FC}" scale="67" showPageBreaks="1" hiddenRows="1" view="pageBreakPreview" topLeftCell="A34">
      <selection activeCell="H53" sqref="H5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"/>
      <headerFooter alignWithMargins="0"/>
    </customSheetView>
    <customSheetView guid="{B31C8DB7-3E78-4144-A6B5-8DE36DE63F0E}" scale="67" showPageBreaks="1" hiddenRows="1" view="pageBreakPreview" topLeftCell="A110">
      <selection activeCell="C144" sqref="C144:C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2"/>
      <headerFooter alignWithMargins="0"/>
    </customSheetView>
    <customSheetView guid="{61528DAC-5C4C-48F4-ADE2-8A724B05A086}" scale="60" showPageBreaks="1" hiddenRows="1" view="pageBreakPreview" topLeftCell="A48">
      <selection activeCell="C3" sqref="C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B30CE22D-C12F-4E12-8BB9-3AAE0A6991CC}" scale="60" showPageBreaks="1" hiddenRows="1" view="pageBreakPreview" topLeftCell="A95">
      <selection activeCell="C144" sqref="C14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5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7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9"/>
      <headerFooter alignWithMargins="0"/>
    </customSheetView>
    <customSheetView guid="{5BFCA170-DEAE-4D2C-98A0-1E68B427AC01}" scale="67" showPageBreaks="1" hiddenRows="1" view="pageBreakPreview" topLeftCell="A34">
      <selection activeCell="H53" sqref="H53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7" orientation="portrait" r:id="rId11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00"/>
  <sheetViews>
    <sheetView zoomScaleNormal="100" zoomScaleSheetLayoutView="70" workbookViewId="0">
      <selection activeCell="C69" sqref="C69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32" t="s">
        <v>417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537.81500000000005</v>
      </c>
      <c r="D4" s="5">
        <f>D5+D12+D14+D17+D20+D7</f>
        <v>107.06842</v>
      </c>
      <c r="E4" s="5">
        <f>SUM(D4/C4*100)</f>
        <v>19.90803900969664</v>
      </c>
      <c r="F4" s="5">
        <f>SUM(D4-C4)</f>
        <v>-430.74658000000005</v>
      </c>
    </row>
    <row r="5" spans="1:6" s="6" customFormat="1">
      <c r="A5" s="68">
        <v>1010000000</v>
      </c>
      <c r="B5" s="67" t="s">
        <v>6</v>
      </c>
      <c r="C5" s="5">
        <f>C6</f>
        <v>68.849999999999994</v>
      </c>
      <c r="D5" s="5">
        <f>D6</f>
        <v>17.649239999999999</v>
      </c>
      <c r="E5" s="5">
        <f t="shared" ref="E5:E47" si="0">SUM(D5/C5*100)</f>
        <v>25.63433551198257</v>
      </c>
      <c r="F5" s="5">
        <f t="shared" ref="F5:F47" si="1">SUM(D5-C5)</f>
        <v>-51.200759999999995</v>
      </c>
    </row>
    <row r="6" spans="1:6">
      <c r="A6" s="7">
        <v>1010200001</v>
      </c>
      <c r="B6" s="8" t="s">
        <v>229</v>
      </c>
      <c r="C6" s="9">
        <v>68.849999999999994</v>
      </c>
      <c r="D6" s="10">
        <v>17.649239999999999</v>
      </c>
      <c r="E6" s="9">
        <f t="shared" ref="E6:E11" si="2">SUM(D6/C6*100)</f>
        <v>25.63433551198257</v>
      </c>
      <c r="F6" s="9">
        <f t="shared" si="1"/>
        <v>-51.200759999999995</v>
      </c>
    </row>
    <row r="7" spans="1:6" ht="31.5">
      <c r="A7" s="3">
        <v>1030000000</v>
      </c>
      <c r="B7" s="13" t="s">
        <v>281</v>
      </c>
      <c r="C7" s="5">
        <f>C8+C10+C9</f>
        <v>221.96500000000003</v>
      </c>
      <c r="D7" s="5">
        <f>D8+D10+D9+D11</f>
        <v>65.138900000000007</v>
      </c>
      <c r="E7" s="9">
        <f t="shared" si="2"/>
        <v>29.346473543126166</v>
      </c>
      <c r="F7" s="9">
        <f t="shared" si="1"/>
        <v>-156.82610000000003</v>
      </c>
    </row>
    <row r="8" spans="1:6">
      <c r="A8" s="7">
        <v>1030223001</v>
      </c>
      <c r="B8" s="8" t="s">
        <v>283</v>
      </c>
      <c r="C8" s="9">
        <v>82.8</v>
      </c>
      <c r="D8" s="10">
        <v>28.61505</v>
      </c>
      <c r="E8" s="9">
        <f t="shared" si="2"/>
        <v>34.559239130434783</v>
      </c>
      <c r="F8" s="9">
        <f t="shared" si="1"/>
        <v>-54.184950000000001</v>
      </c>
    </row>
    <row r="9" spans="1:6">
      <c r="A9" s="7">
        <v>1030224001</v>
      </c>
      <c r="B9" s="8" t="s">
        <v>287</v>
      </c>
      <c r="C9" s="9">
        <v>0.86499999999999999</v>
      </c>
      <c r="D9" s="10">
        <v>0.19994000000000001</v>
      </c>
      <c r="E9" s="9">
        <f t="shared" si="2"/>
        <v>23.114450867052025</v>
      </c>
      <c r="F9" s="9">
        <f t="shared" si="1"/>
        <v>-0.66505999999999998</v>
      </c>
    </row>
    <row r="10" spans="1:6">
      <c r="A10" s="7">
        <v>1030225001</v>
      </c>
      <c r="B10" s="8" t="s">
        <v>282</v>
      </c>
      <c r="C10" s="9">
        <v>138.30000000000001</v>
      </c>
      <c r="D10" s="10">
        <v>41.955570000000002</v>
      </c>
      <c r="E10" s="9">
        <f t="shared" si="2"/>
        <v>30.336637744034707</v>
      </c>
      <c r="F10" s="9">
        <f t="shared" si="1"/>
        <v>-96.344430000000017</v>
      </c>
    </row>
    <row r="11" spans="1:6">
      <c r="A11" s="7">
        <v>1030226001</v>
      </c>
      <c r="B11" s="8" t="s">
        <v>288</v>
      </c>
      <c r="C11" s="9">
        <v>0</v>
      </c>
      <c r="D11" s="10">
        <v>-5.6316600000000001</v>
      </c>
      <c r="E11" s="9" t="e">
        <f t="shared" si="2"/>
        <v>#DIV/0!</v>
      </c>
      <c r="F11" s="9">
        <f t="shared" si="1"/>
        <v>-5.6316600000000001</v>
      </c>
    </row>
    <row r="12" spans="1:6" s="6" customFormat="1">
      <c r="A12" s="68">
        <v>1050000000</v>
      </c>
      <c r="B12" s="67" t="s">
        <v>7</v>
      </c>
      <c r="C12" s="5">
        <f>C13</f>
        <v>2</v>
      </c>
      <c r="D12" s="5">
        <f>D13</f>
        <v>0</v>
      </c>
      <c r="E12" s="5">
        <f t="shared" si="0"/>
        <v>0</v>
      </c>
      <c r="F12" s="5">
        <f t="shared" si="1"/>
        <v>-2</v>
      </c>
    </row>
    <row r="13" spans="1:6" ht="15.75" customHeight="1">
      <c r="A13" s="7">
        <v>1050300000</v>
      </c>
      <c r="B13" s="11" t="s">
        <v>230</v>
      </c>
      <c r="C13" s="12">
        <v>2</v>
      </c>
      <c r="D13" s="10">
        <v>0</v>
      </c>
      <c r="E13" s="9">
        <f t="shared" si="0"/>
        <v>0</v>
      </c>
      <c r="F13" s="9">
        <f t="shared" si="1"/>
        <v>-2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240</v>
      </c>
      <c r="D14" s="5">
        <f>D15+D16</f>
        <v>24.180280000000003</v>
      </c>
      <c r="E14" s="5">
        <f t="shared" si="0"/>
        <v>10.075116666666668</v>
      </c>
      <c r="F14" s="5">
        <f t="shared" si="1"/>
        <v>-215.81971999999999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10.111370000000001</v>
      </c>
      <c r="E15" s="9">
        <f t="shared" si="0"/>
        <v>25.278425000000006</v>
      </c>
      <c r="F15" s="9">
        <f>SUM(D15-C15)</f>
        <v>-29.888629999999999</v>
      </c>
    </row>
    <row r="16" spans="1:6" ht="15" customHeight="1">
      <c r="A16" s="7">
        <v>1060600000</v>
      </c>
      <c r="B16" s="11" t="s">
        <v>8</v>
      </c>
      <c r="C16" s="9">
        <v>200</v>
      </c>
      <c r="D16" s="10">
        <v>14.068910000000001</v>
      </c>
      <c r="E16" s="9">
        <f t="shared" si="0"/>
        <v>7.0344550000000003</v>
      </c>
      <c r="F16" s="9">
        <f t="shared" si="1"/>
        <v>-185.93109000000001</v>
      </c>
    </row>
    <row r="17" spans="1:6" s="6" customFormat="1" ht="15" customHeight="1">
      <c r="A17" s="3">
        <v>1080000000</v>
      </c>
      <c r="B17" s="4" t="s">
        <v>11</v>
      </c>
      <c r="C17" s="5">
        <f>C18</f>
        <v>5</v>
      </c>
      <c r="D17" s="5">
        <f>D18</f>
        <v>0.1</v>
      </c>
      <c r="E17" s="9">
        <f t="shared" si="0"/>
        <v>2</v>
      </c>
      <c r="F17" s="5">
        <f t="shared" si="1"/>
        <v>-4.9000000000000004</v>
      </c>
    </row>
    <row r="18" spans="1:6" ht="18.75" customHeight="1">
      <c r="A18" s="7">
        <v>1080402001</v>
      </c>
      <c r="B18" s="8" t="s">
        <v>228</v>
      </c>
      <c r="C18" s="9">
        <v>5</v>
      </c>
      <c r="D18" s="10">
        <v>0.1</v>
      </c>
      <c r="E18" s="9">
        <f t="shared" si="0"/>
        <v>2</v>
      </c>
      <c r="F18" s="9">
        <f t="shared" si="1"/>
        <v>-4.9000000000000004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55</v>
      </c>
      <c r="D25" s="5">
        <f>D26+D31+D34+D29</f>
        <v>6.3845299999999998</v>
      </c>
      <c r="E25" s="5">
        <f t="shared" si="0"/>
        <v>11.608236363636363</v>
      </c>
      <c r="F25" s="5">
        <f t="shared" si="1"/>
        <v>-48.615470000000002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55</v>
      </c>
      <c r="D26" s="5">
        <f>D27+D28</f>
        <v>0</v>
      </c>
      <c r="E26" s="5">
        <f t="shared" si="0"/>
        <v>0</v>
      </c>
      <c r="F26" s="5">
        <f t="shared" si="1"/>
        <v>-55</v>
      </c>
    </row>
    <row r="27" spans="1:6" ht="22.5" customHeight="1">
      <c r="A27" s="16">
        <v>1110502000</v>
      </c>
      <c r="B27" s="17" t="s">
        <v>226</v>
      </c>
      <c r="C27" s="12">
        <v>55</v>
      </c>
      <c r="D27" s="10">
        <v>0</v>
      </c>
      <c r="E27" s="9">
        <f t="shared" si="0"/>
        <v>0</v>
      </c>
      <c r="F27" s="9">
        <f t="shared" si="1"/>
        <v>-55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131</v>
      </c>
      <c r="C29" s="5">
        <f>C30</f>
        <v>0</v>
      </c>
      <c r="D29" s="5">
        <f>D30</f>
        <v>6.3845299999999998</v>
      </c>
      <c r="E29" s="9" t="e">
        <f t="shared" si="0"/>
        <v>#DIV/0!</v>
      </c>
      <c r="F29" s="5">
        <f t="shared" si="1"/>
        <v>6.3845299999999998</v>
      </c>
    </row>
    <row r="30" spans="1:6" ht="30.75" customHeight="1">
      <c r="A30" s="7">
        <v>1130200000</v>
      </c>
      <c r="B30" s="8" t="s">
        <v>224</v>
      </c>
      <c r="C30" s="9">
        <v>0</v>
      </c>
      <c r="D30" s="10">
        <v>6.3845299999999998</v>
      </c>
      <c r="E30" s="9" t="e">
        <f t="shared" si="0"/>
        <v>#DIV/0!</v>
      </c>
      <c r="F30" s="9">
        <f t="shared" si="1"/>
        <v>6.3845299999999998</v>
      </c>
    </row>
    <row r="31" spans="1:6" ht="25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74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592.81500000000005</v>
      </c>
      <c r="D37" s="127">
        <f>SUM(D4,D25)</f>
        <v>113.45295</v>
      </c>
      <c r="E37" s="5">
        <f t="shared" si="0"/>
        <v>19.138002580906353</v>
      </c>
      <c r="F37" s="5">
        <f t="shared" si="1"/>
        <v>-479.36205000000007</v>
      </c>
    </row>
    <row r="38" spans="1:11" s="6" customFormat="1">
      <c r="A38" s="3">
        <v>2000000000</v>
      </c>
      <c r="B38" s="4" t="s">
        <v>20</v>
      </c>
      <c r="C38" s="279">
        <f>C39+C40+C41+C42+C43+C44</f>
        <v>2881.4151499999998</v>
      </c>
      <c r="D38" s="279">
        <f>D39+D40+D41+D42+D43+D45</f>
        <v>497.54499999999996</v>
      </c>
      <c r="E38" s="5">
        <f t="shared" si="0"/>
        <v>17.267383355015678</v>
      </c>
      <c r="F38" s="5">
        <f t="shared" si="1"/>
        <v>-2383.8701499999997</v>
      </c>
      <c r="G38" s="19"/>
    </row>
    <row r="39" spans="1:11">
      <c r="A39" s="16">
        <v>2021000000</v>
      </c>
      <c r="B39" s="17" t="s">
        <v>21</v>
      </c>
      <c r="C39" s="332">
        <v>1200.7</v>
      </c>
      <c r="D39" s="20">
        <v>300.17399999999998</v>
      </c>
      <c r="E39" s="9">
        <f t="shared" si="0"/>
        <v>24.999916715249434</v>
      </c>
      <c r="F39" s="9">
        <f t="shared" si="1"/>
        <v>-900.52600000000007</v>
      </c>
    </row>
    <row r="40" spans="1:11">
      <c r="A40" s="16">
        <v>2021500200</v>
      </c>
      <c r="B40" s="17" t="s">
        <v>232</v>
      </c>
      <c r="C40" s="329">
        <v>340</v>
      </c>
      <c r="D40" s="20">
        <v>27.5</v>
      </c>
      <c r="E40" s="9">
        <f>SUM(D40/C40*100)</f>
        <v>8.0882352941176467</v>
      </c>
      <c r="F40" s="9">
        <f>SUM(D40-C40)</f>
        <v>-312.5</v>
      </c>
    </row>
    <row r="41" spans="1:11">
      <c r="A41" s="16">
        <v>2022000000</v>
      </c>
      <c r="B41" s="17" t="s">
        <v>22</v>
      </c>
      <c r="C41" s="329">
        <v>1188.7561900000001</v>
      </c>
      <c r="D41" s="10">
        <v>87.12</v>
      </c>
      <c r="E41" s="9">
        <f t="shared" si="0"/>
        <v>7.3286684631269932</v>
      </c>
      <c r="F41" s="9">
        <f t="shared" si="1"/>
        <v>-1101.6361900000002</v>
      </c>
    </row>
    <row r="42" spans="1:11" ht="19.5" customHeight="1">
      <c r="A42" s="16">
        <v>2023000000</v>
      </c>
      <c r="B42" s="17" t="s">
        <v>23</v>
      </c>
      <c r="C42" s="329">
        <v>91.480999999999995</v>
      </c>
      <c r="D42" s="250">
        <v>22.251000000000001</v>
      </c>
      <c r="E42" s="9">
        <f t="shared" si="0"/>
        <v>24.3230834818159</v>
      </c>
      <c r="F42" s="9">
        <f t="shared" si="1"/>
        <v>-69.22999999999999</v>
      </c>
    </row>
    <row r="43" spans="1:11">
      <c r="A43" s="7">
        <v>2070500010</v>
      </c>
      <c r="B43" s="17" t="s">
        <v>357</v>
      </c>
      <c r="C43" s="329">
        <v>60.477960000000003</v>
      </c>
      <c r="D43" s="251">
        <v>60.5</v>
      </c>
      <c r="E43" s="9">
        <f t="shared" si="0"/>
        <v>100.03644302817092</v>
      </c>
      <c r="F43" s="9">
        <f t="shared" si="1"/>
        <v>2.2039999999996951E-2</v>
      </c>
    </row>
    <row r="44" spans="1:11" ht="15.75" hidden="1" customHeight="1">
      <c r="A44" s="16">
        <v>2022999910</v>
      </c>
      <c r="B44" s="18" t="s">
        <v>350</v>
      </c>
      <c r="C44" s="329">
        <v>0</v>
      </c>
      <c r="D44" s="251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38">
        <v>0</v>
      </c>
      <c r="D45" s="326">
        <v>0</v>
      </c>
      <c r="E45" s="5" t="e">
        <f t="shared" si="0"/>
        <v>#DIV/0!</v>
      </c>
      <c r="F45" s="5">
        <f>SUM(D45-C45)</f>
        <v>0</v>
      </c>
    </row>
    <row r="46" spans="1:11" s="6" customFormat="1" ht="31.5" hidden="1" customHeight="1">
      <c r="A46" s="3">
        <v>3000000000</v>
      </c>
      <c r="B46" s="13" t="s">
        <v>27</v>
      </c>
      <c r="C46" s="339">
        <v>0</v>
      </c>
      <c r="D46" s="340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386">
        <f>C37+C38</f>
        <v>3474.2301499999999</v>
      </c>
      <c r="D47" s="387">
        <f>D37+D38</f>
        <v>610.99794999999995</v>
      </c>
      <c r="E47" s="5">
        <f t="shared" si="0"/>
        <v>17.586570941478932</v>
      </c>
      <c r="F47" s="5">
        <f t="shared" si="1"/>
        <v>-2863.2321999999999</v>
      </c>
      <c r="G47" s="292"/>
      <c r="H47" s="292"/>
      <c r="K47" s="130"/>
    </row>
    <row r="48" spans="1:11" s="6" customFormat="1">
      <c r="A48" s="3"/>
      <c r="B48" s="21" t="s">
        <v>322</v>
      </c>
      <c r="C48" s="386">
        <f>C47-C94</f>
        <v>-213.83624000000009</v>
      </c>
      <c r="D48" s="386">
        <f>D47-D94</f>
        <v>267.78738999999996</v>
      </c>
      <c r="E48" s="22"/>
      <c r="F48" s="22"/>
    </row>
    <row r="49" spans="1:6">
      <c r="A49" s="23"/>
      <c r="B49" s="24"/>
      <c r="C49" s="249"/>
      <c r="D49" s="249"/>
      <c r="E49" s="26"/>
      <c r="F49" s="92"/>
    </row>
    <row r="50" spans="1:6" ht="50.25" customHeight="1">
      <c r="A50" s="28" t="s">
        <v>1</v>
      </c>
      <c r="B50" s="28" t="s">
        <v>29</v>
      </c>
      <c r="C50" s="242" t="s">
        <v>412</v>
      </c>
      <c r="D50" s="243" t="s">
        <v>419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408">
        <f>C54+C57+C58+C59</f>
        <v>1083.4159999999999</v>
      </c>
      <c r="D52" s="428">
        <f>D54+D57+D58+D59</f>
        <v>193.13162</v>
      </c>
      <c r="E52" s="34">
        <f>SUM(D52/C52*100)</f>
        <v>17.826173879654721</v>
      </c>
      <c r="F52" s="34">
        <f>SUM(D52-C52)</f>
        <v>-890.28437999999994</v>
      </c>
    </row>
    <row r="53" spans="1:6" s="6" customFormat="1" ht="31.5" hidden="1">
      <c r="A53" s="35" t="s">
        <v>32</v>
      </c>
      <c r="B53" s="36" t="s">
        <v>33</v>
      </c>
      <c r="C53" s="409"/>
      <c r="D53" s="429"/>
      <c r="E53" s="38"/>
      <c r="F53" s="38"/>
    </row>
    <row r="54" spans="1:6" ht="16.5" customHeight="1">
      <c r="A54" s="35" t="s">
        <v>34</v>
      </c>
      <c r="B54" s="39" t="s">
        <v>35</v>
      </c>
      <c r="C54" s="409">
        <v>1076.0999999999999</v>
      </c>
      <c r="D54" s="136">
        <v>190.81612000000001</v>
      </c>
      <c r="E54" s="38">
        <f>SUM(D54/C54*100)</f>
        <v>17.732192175448379</v>
      </c>
      <c r="F54" s="38">
        <f t="shared" ref="F54:F94" si="3">SUM(D54-C54)</f>
        <v>-885.28387999999995</v>
      </c>
    </row>
    <row r="55" spans="1:6" ht="0.75" hidden="1" customHeight="1">
      <c r="A55" s="35" t="s">
        <v>36</v>
      </c>
      <c r="B55" s="39" t="s">
        <v>37</v>
      </c>
      <c r="C55" s="409"/>
      <c r="D55" s="429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409"/>
      <c r="D56" s="429"/>
      <c r="E56" s="38" t="e">
        <f t="shared" ref="E56:E94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409">
        <v>0</v>
      </c>
      <c r="D57" s="429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10">
        <v>5</v>
      </c>
      <c r="D58" s="43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409">
        <v>2.3159999999999998</v>
      </c>
      <c r="D59" s="429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46</v>
      </c>
      <c r="B60" s="42" t="s">
        <v>47</v>
      </c>
      <c r="C60" s="408">
        <f>C61</f>
        <v>89.944999999999993</v>
      </c>
      <c r="D60" s="428">
        <f>D61</f>
        <v>17.09</v>
      </c>
      <c r="E60" s="34">
        <f t="shared" si="4"/>
        <v>19.000500305742399</v>
      </c>
      <c r="F60" s="34">
        <f t="shared" si="3"/>
        <v>-72.85499999999999</v>
      </c>
    </row>
    <row r="61" spans="1:6">
      <c r="A61" s="43" t="s">
        <v>48</v>
      </c>
      <c r="B61" s="44" t="s">
        <v>49</v>
      </c>
      <c r="C61" s="409">
        <v>89.944999999999993</v>
      </c>
      <c r="D61" s="429">
        <v>17.09</v>
      </c>
      <c r="E61" s="38">
        <f t="shared" si="4"/>
        <v>19.000500305742399</v>
      </c>
      <c r="F61" s="38">
        <f t="shared" si="3"/>
        <v>-72.85499999999999</v>
      </c>
    </row>
    <row r="62" spans="1:6" s="6" customFormat="1" ht="16.5" customHeight="1">
      <c r="A62" s="30" t="s">
        <v>50</v>
      </c>
      <c r="B62" s="31" t="s">
        <v>51</v>
      </c>
      <c r="C62" s="408">
        <f>C65+C66+C67</f>
        <v>14</v>
      </c>
      <c r="D62" s="428">
        <f>D65+D66</f>
        <v>0</v>
      </c>
      <c r="E62" s="34">
        <f t="shared" si="4"/>
        <v>0</v>
      </c>
      <c r="F62" s="34">
        <f t="shared" si="3"/>
        <v>-14</v>
      </c>
    </row>
    <row r="63" spans="1:6" ht="13.5" hidden="1" customHeight="1">
      <c r="A63" s="35" t="s">
        <v>52</v>
      </c>
      <c r="B63" s="39" t="s">
        <v>53</v>
      </c>
      <c r="C63" s="409"/>
      <c r="D63" s="429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409"/>
      <c r="D64" s="429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409">
        <v>2</v>
      </c>
      <c r="D65" s="429">
        <v>0</v>
      </c>
      <c r="E65" s="34">
        <f t="shared" si="4"/>
        <v>0</v>
      </c>
      <c r="F65" s="34">
        <f t="shared" si="3"/>
        <v>-2</v>
      </c>
    </row>
    <row r="66" spans="1:7" ht="15.75" customHeight="1">
      <c r="A66" s="46" t="s">
        <v>219</v>
      </c>
      <c r="B66" s="47" t="s">
        <v>220</v>
      </c>
      <c r="C66" s="409">
        <v>10</v>
      </c>
      <c r="D66" s="429">
        <v>0</v>
      </c>
      <c r="E66" s="38">
        <f t="shared" si="4"/>
        <v>0</v>
      </c>
      <c r="F66" s="38">
        <f t="shared" si="3"/>
        <v>-10</v>
      </c>
    </row>
    <row r="67" spans="1:7" ht="15.75" customHeight="1">
      <c r="A67" s="46" t="s">
        <v>358</v>
      </c>
      <c r="B67" s="47" t="s">
        <v>414</v>
      </c>
      <c r="C67" s="409">
        <v>2</v>
      </c>
      <c r="D67" s="429"/>
      <c r="E67" s="38"/>
      <c r="F67" s="38"/>
    </row>
    <row r="68" spans="1:7" s="6" customFormat="1">
      <c r="A68" s="30" t="s">
        <v>58</v>
      </c>
      <c r="B68" s="31" t="s">
        <v>59</v>
      </c>
      <c r="C68" s="223">
        <f>C71+C72+C69+C70</f>
        <v>1701.7858899999999</v>
      </c>
      <c r="D68" s="431">
        <f>D71+D72+D69+D70</f>
        <v>19.056629999999998</v>
      </c>
      <c r="E68" s="34">
        <f t="shared" si="4"/>
        <v>1.1198018570949604</v>
      </c>
      <c r="F68" s="34">
        <f t="shared" si="3"/>
        <v>-1682.7292599999998</v>
      </c>
    </row>
    <row r="69" spans="1:7" ht="16.5" customHeight="1">
      <c r="A69" s="35" t="s">
        <v>60</v>
      </c>
      <c r="B69" s="39" t="s">
        <v>61</v>
      </c>
      <c r="C69" s="411">
        <v>4.0214999999999996</v>
      </c>
      <c r="D69" s="429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62</v>
      </c>
      <c r="B70" s="39" t="s">
        <v>63</v>
      </c>
      <c r="C70" s="411">
        <v>5.2629999999999999</v>
      </c>
      <c r="D70" s="429">
        <v>0</v>
      </c>
      <c r="E70" s="38">
        <f t="shared" si="4"/>
        <v>0</v>
      </c>
      <c r="F70" s="38">
        <f t="shared" si="3"/>
        <v>-5.2629999999999999</v>
      </c>
      <c r="G70" s="50"/>
    </row>
    <row r="71" spans="1:7" ht="15.75" customHeight="1">
      <c r="A71" s="35" t="s">
        <v>64</v>
      </c>
      <c r="B71" s="39" t="s">
        <v>65</v>
      </c>
      <c r="C71" s="413">
        <v>1692.5013899999999</v>
      </c>
      <c r="D71" s="429">
        <v>19.056629999999998</v>
      </c>
      <c r="E71" s="38">
        <f t="shared" si="4"/>
        <v>1.1259447178356525</v>
      </c>
      <c r="F71" s="38">
        <f t="shared" si="3"/>
        <v>-1673.4447599999999</v>
      </c>
    </row>
    <row r="72" spans="1:7">
      <c r="A72" s="35" t="s">
        <v>66</v>
      </c>
      <c r="B72" s="39" t="s">
        <v>67</v>
      </c>
      <c r="C72" s="411"/>
      <c r="D72" s="429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68</v>
      </c>
      <c r="B73" s="31" t="s">
        <v>69</v>
      </c>
      <c r="C73" s="408">
        <f>C76</f>
        <v>518.81949999999995</v>
      </c>
      <c r="D73" s="428">
        <f>D76</f>
        <v>44.932310000000001</v>
      </c>
      <c r="E73" s="34">
        <f t="shared" si="4"/>
        <v>8.6604898235320782</v>
      </c>
      <c r="F73" s="34">
        <f t="shared" si="3"/>
        <v>-473.88718999999992</v>
      </c>
    </row>
    <row r="74" spans="1:7" ht="0.75" hidden="1" customHeight="1">
      <c r="A74" s="35" t="s">
        <v>70</v>
      </c>
      <c r="B74" s="51" t="s">
        <v>71</v>
      </c>
      <c r="C74" s="409"/>
      <c r="D74" s="429"/>
      <c r="E74" s="38" t="e">
        <f t="shared" si="4"/>
        <v>#DIV/0!</v>
      </c>
      <c r="F74" s="38">
        <f t="shared" si="3"/>
        <v>0</v>
      </c>
    </row>
    <row r="75" spans="1:7" hidden="1">
      <c r="A75" s="35" t="s">
        <v>72</v>
      </c>
      <c r="B75" s="51" t="s">
        <v>73</v>
      </c>
      <c r="C75" s="409"/>
      <c r="D75" s="429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74</v>
      </c>
      <c r="B76" s="39" t="s">
        <v>75</v>
      </c>
      <c r="C76" s="409">
        <v>518.81949999999995</v>
      </c>
      <c r="D76" s="429">
        <v>44.932310000000001</v>
      </c>
      <c r="E76" s="38">
        <f t="shared" si="4"/>
        <v>8.6604898235320782</v>
      </c>
      <c r="F76" s="38">
        <f t="shared" si="3"/>
        <v>-473.88718999999992</v>
      </c>
    </row>
    <row r="77" spans="1:7" s="6" customFormat="1">
      <c r="A77" s="30" t="s">
        <v>86</v>
      </c>
      <c r="B77" s="31" t="s">
        <v>87</v>
      </c>
      <c r="C77" s="408">
        <f>C78</f>
        <v>276.10000000000002</v>
      </c>
      <c r="D77" s="428">
        <f>D78</f>
        <v>69</v>
      </c>
      <c r="E77" s="34">
        <f t="shared" si="4"/>
        <v>24.990945309670405</v>
      </c>
      <c r="F77" s="34">
        <f t="shared" si="3"/>
        <v>-207.10000000000002</v>
      </c>
    </row>
    <row r="78" spans="1:7" ht="14.25" customHeight="1">
      <c r="A78" s="35" t="s">
        <v>88</v>
      </c>
      <c r="B78" s="39" t="s">
        <v>234</v>
      </c>
      <c r="C78" s="409">
        <v>276.10000000000002</v>
      </c>
      <c r="D78" s="429">
        <v>69</v>
      </c>
      <c r="E78" s="38">
        <f t="shared" si="4"/>
        <v>24.990945309670405</v>
      </c>
      <c r="F78" s="38">
        <f t="shared" si="3"/>
        <v>-207.10000000000002</v>
      </c>
    </row>
    <row r="79" spans="1:7" s="6" customFormat="1" ht="0.75" hidden="1" customHeight="1">
      <c r="A79" s="52">
        <v>1000</v>
      </c>
      <c r="B79" s="31" t="s">
        <v>89</v>
      </c>
      <c r="C79" s="32"/>
      <c r="D79" s="3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90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91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92</v>
      </c>
      <c r="C82" s="37"/>
      <c r="D82" s="55"/>
      <c r="E82" s="38" t="e">
        <f t="shared" si="4"/>
        <v>#DIV/0!</v>
      </c>
      <c r="F82" s="38">
        <f t="shared" si="3"/>
        <v>0</v>
      </c>
    </row>
    <row r="83" spans="1:7" ht="0.75" hidden="1" customHeight="1">
      <c r="A83" s="35" t="s">
        <v>93</v>
      </c>
      <c r="B83" s="39" t="s">
        <v>94</v>
      </c>
      <c r="C83" s="37"/>
      <c r="D83" s="37"/>
      <c r="E83" s="38"/>
      <c r="F83" s="38">
        <f t="shared" si="3"/>
        <v>0</v>
      </c>
    </row>
    <row r="84" spans="1:7" ht="12" customHeight="1">
      <c r="A84" s="30" t="s">
        <v>95</v>
      </c>
      <c r="B84" s="31" t="s">
        <v>96</v>
      </c>
      <c r="C84" s="32">
        <f>C85</f>
        <v>4</v>
      </c>
      <c r="D84" s="32">
        <v>0</v>
      </c>
      <c r="E84" s="38">
        <f t="shared" si="4"/>
        <v>0</v>
      </c>
      <c r="F84" s="22">
        <f>F85+F86+F87+F88+F89</f>
        <v>-4</v>
      </c>
    </row>
    <row r="85" spans="1:7" ht="11.25" customHeight="1">
      <c r="A85" s="35" t="s">
        <v>97</v>
      </c>
      <c r="B85" s="39" t="s">
        <v>98</v>
      </c>
      <c r="C85" s="37">
        <v>4</v>
      </c>
      <c r="D85" s="37">
        <v>0</v>
      </c>
      <c r="E85" s="38">
        <v>0</v>
      </c>
      <c r="F85" s="38">
        <f>SUM(D85-C85)</f>
        <v>-4</v>
      </c>
    </row>
    <row r="86" spans="1:7" ht="14.25" customHeight="1">
      <c r="A86" s="35" t="s">
        <v>99</v>
      </c>
      <c r="B86" s="39" t="s">
        <v>100</v>
      </c>
      <c r="C86" s="37"/>
      <c r="D86" s="37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101</v>
      </c>
      <c r="B87" s="39" t="s">
        <v>102</v>
      </c>
      <c r="C87" s="37"/>
      <c r="D87" s="37"/>
      <c r="E87" s="38" t="e">
        <f t="shared" si="4"/>
        <v>#DIV/0!</v>
      </c>
      <c r="F87" s="38"/>
    </row>
    <row r="88" spans="1:7" ht="9.75" hidden="1" customHeight="1">
      <c r="A88" s="35" t="s">
        <v>103</v>
      </c>
      <c r="B88" s="39" t="s">
        <v>104</v>
      </c>
      <c r="C88" s="37"/>
      <c r="D88" s="37"/>
      <c r="E88" s="38" t="e">
        <f t="shared" si="4"/>
        <v>#DIV/0!</v>
      </c>
      <c r="F88" s="38"/>
    </row>
    <row r="89" spans="1:7" ht="11.25" hidden="1" customHeight="1">
      <c r="A89" s="35" t="s">
        <v>105</v>
      </c>
      <c r="B89" s="39" t="s">
        <v>106</v>
      </c>
      <c r="C89" s="37"/>
      <c r="D89" s="37"/>
      <c r="E89" s="38" t="e">
        <f t="shared" si="4"/>
        <v>#DIV/0!</v>
      </c>
      <c r="F89" s="38"/>
    </row>
    <row r="90" spans="1:7" s="6" customFormat="1" ht="17.25" customHeight="1">
      <c r="A90" s="52">
        <v>1400</v>
      </c>
      <c r="B90" s="56" t="s">
        <v>115</v>
      </c>
      <c r="C90" s="48">
        <v>0</v>
      </c>
      <c r="D90" s="48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customHeight="1">
      <c r="A91" s="53">
        <v>1401</v>
      </c>
      <c r="B91" s="54" t="s">
        <v>116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t="15.75" customHeight="1">
      <c r="A92" s="53">
        <v>1402</v>
      </c>
      <c r="B92" s="54" t="s">
        <v>117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ht="12.75" customHeight="1">
      <c r="A93" s="53">
        <v>1403</v>
      </c>
      <c r="B93" s="54" t="s">
        <v>118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119</v>
      </c>
      <c r="C94" s="412">
        <f>C52+C60+C62+C68+C73+C77+C84</f>
        <v>3688.06639</v>
      </c>
      <c r="D94" s="388">
        <f>D52+D60+D62+D68+D73+D77+D79+D84+D90</f>
        <v>343.21055999999999</v>
      </c>
      <c r="E94" s="128">
        <f t="shared" si="4"/>
        <v>9.3059756443267272</v>
      </c>
      <c r="F94" s="34">
        <f t="shared" si="3"/>
        <v>-3344.85583</v>
      </c>
      <c r="G94" s="292">
        <f>C94-2813.74646</f>
        <v>874.31993000000011</v>
      </c>
    </row>
    <row r="95" spans="1:7">
      <c r="C95" s="126"/>
      <c r="D95" s="101"/>
    </row>
    <row r="96" spans="1:7" s="65" customFormat="1" ht="16.5" customHeight="1">
      <c r="A96" s="63" t="s">
        <v>120</v>
      </c>
      <c r="B96" s="63"/>
      <c r="C96" s="248"/>
      <c r="D96" s="248"/>
    </row>
    <row r="97" spans="1:3" s="65" customFormat="1" ht="20.25" customHeight="1">
      <c r="A97" s="66" t="s">
        <v>121</v>
      </c>
      <c r="B97" s="66"/>
      <c r="C97" s="65" t="s">
        <v>122</v>
      </c>
    </row>
    <row r="98" spans="1:3" ht="13.5" customHeight="1"/>
    <row r="100" spans="1:3" ht="5.25" customHeight="1"/>
  </sheetData>
  <customSheetViews>
    <customSheetView guid="{35821C05-60FE-4C33-8558-8CF10812F6FC}" hiddenRows="1">
      <selection activeCell="C69" sqref="C69"/>
      <pageMargins left="0.75" right="0.75" top="0.18" bottom="0.17" header="0.5" footer="0.25"/>
      <pageSetup paperSize="9" scale="63" orientation="portrait" r:id="rId1"/>
      <headerFooter alignWithMargins="0"/>
    </customSheetView>
    <customSheetView guid="{B31C8DB7-3E78-4144-A6B5-8DE36DE63F0E}" hiddenRows="1" topLeftCell="A28">
      <selection activeCell="D42" sqref="D42"/>
      <pageMargins left="0.75" right="0.75" top="0.18" bottom="0.17" header="0.5" footer="0.25"/>
      <pageSetup paperSize="9" scale="63" orientation="portrait" r:id="rId2"/>
      <headerFooter alignWithMargins="0"/>
    </customSheetView>
    <customSheetView guid="{61528DAC-5C4C-48F4-ADE2-8A724B05A086}" scale="70" showPageBreaks="1" printArea="1" hiddenRows="1" view="pageBreakPreview">
      <selection activeCell="C47" sqref="C47"/>
      <pageMargins left="0.74803149606299213" right="0.74803149606299213" top="0.19685039370078741" bottom="0.15748031496062992" header="0.51181102362204722" footer="0.23622047244094491"/>
      <pageSetup paperSize="9" scale="60" orientation="portrait" r:id="rId3"/>
      <headerFooter alignWithMargins="0"/>
    </customSheetView>
    <customSheetView guid="{B30CE22D-C12F-4E12-8BB9-3AAE0A6991CC}" scale="70" showPageBreaks="1" hiddenRows="1" view="pageBreakPreview">
      <selection activeCell="A67" sqref="A67:XFD67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5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6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7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9"/>
      <headerFooter alignWithMargins="0"/>
    </customSheetView>
    <customSheetView guid="{5BFCA170-DEAE-4D2C-98A0-1E68B427AC01}" showPageBreaks="1" hiddenRows="1">
      <selection activeCell="C69" sqref="C69"/>
      <pageMargins left="0.75" right="0.75" top="0.18" bottom="0.17" header="0.5" footer="0.25"/>
      <pageSetup paperSize="9" scale="63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4"/>
  <sheetViews>
    <sheetView topLeftCell="A53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422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135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382">
        <f>C5+C12+C14+C17+C7</f>
        <v>3515.44</v>
      </c>
      <c r="D4" s="382">
        <f>D5+D12+D14+D17+D7</f>
        <v>425.77174000000002</v>
      </c>
      <c r="E4" s="5">
        <f>SUM(D4/C4*100)</f>
        <v>12.111477937327903</v>
      </c>
      <c r="F4" s="5">
        <f>SUM(D4-C4)</f>
        <v>-3089.6682599999999</v>
      </c>
    </row>
    <row r="5" spans="1:6" s="6" customFormat="1">
      <c r="A5" s="68">
        <v>1010000000</v>
      </c>
      <c r="B5" s="67" t="s">
        <v>6</v>
      </c>
      <c r="C5" s="382">
        <f>C6</f>
        <v>443.71499999999997</v>
      </c>
      <c r="D5" s="382">
        <f>D6</f>
        <v>88.660749999999993</v>
      </c>
      <c r="E5" s="5">
        <f t="shared" ref="E5:E52" si="0">SUM(D5/C5*100)</f>
        <v>19.981463326684921</v>
      </c>
      <c r="F5" s="5">
        <f t="shared" ref="F5:F52" si="1">SUM(D5-C5)</f>
        <v>-355.05424999999997</v>
      </c>
    </row>
    <row r="6" spans="1:6">
      <c r="A6" s="7">
        <v>1010200001</v>
      </c>
      <c r="B6" s="8" t="s">
        <v>229</v>
      </c>
      <c r="C6" s="414">
        <v>443.71499999999997</v>
      </c>
      <c r="D6" s="415">
        <v>88.660749999999993</v>
      </c>
      <c r="E6" s="9">
        <f t="shared" ref="E6:E11" si="2">SUM(D6/C6*100)</f>
        <v>19.981463326684921</v>
      </c>
      <c r="F6" s="9">
        <f t="shared" si="1"/>
        <v>-355.05424999999997</v>
      </c>
    </row>
    <row r="7" spans="1:6" ht="31.5">
      <c r="A7" s="3">
        <v>1030000000</v>
      </c>
      <c r="B7" s="13" t="s">
        <v>281</v>
      </c>
      <c r="C7" s="382">
        <f>C8+C10+C9</f>
        <v>635.72500000000002</v>
      </c>
      <c r="D7" s="382">
        <f>D8+D10+D9+D11</f>
        <v>186.56286</v>
      </c>
      <c r="E7" s="5">
        <f t="shared" si="2"/>
        <v>29.34647213811003</v>
      </c>
      <c r="F7" s="5">
        <f t="shared" si="1"/>
        <v>-449.16214000000002</v>
      </c>
    </row>
    <row r="8" spans="1:6">
      <c r="A8" s="7">
        <v>1030223001</v>
      </c>
      <c r="B8" s="8" t="s">
        <v>283</v>
      </c>
      <c r="C8" s="414">
        <v>237.12</v>
      </c>
      <c r="D8" s="415">
        <v>81.955730000000003</v>
      </c>
      <c r="E8" s="9">
        <f t="shared" si="2"/>
        <v>34.562976551956815</v>
      </c>
      <c r="F8" s="9">
        <f t="shared" si="1"/>
        <v>-155.16426999999999</v>
      </c>
    </row>
    <row r="9" spans="1:6">
      <c r="A9" s="7">
        <v>1030224001</v>
      </c>
      <c r="B9" s="8" t="s">
        <v>289</v>
      </c>
      <c r="C9" s="414">
        <v>2.5049999999999999</v>
      </c>
      <c r="D9" s="415">
        <v>0.57262999999999997</v>
      </c>
      <c r="E9" s="9">
        <f t="shared" si="2"/>
        <v>22.859481037924152</v>
      </c>
      <c r="F9" s="9">
        <f t="shared" si="1"/>
        <v>-1.9323699999999999</v>
      </c>
    </row>
    <row r="10" spans="1:6">
      <c r="A10" s="7">
        <v>1030225001</v>
      </c>
      <c r="B10" s="8" t="s">
        <v>282</v>
      </c>
      <c r="C10" s="414">
        <v>396.1</v>
      </c>
      <c r="D10" s="415">
        <v>120.16401</v>
      </c>
      <c r="E10" s="9">
        <f t="shared" si="2"/>
        <v>30.336786165109821</v>
      </c>
      <c r="F10" s="9">
        <f t="shared" si="1"/>
        <v>-275.93599</v>
      </c>
    </row>
    <row r="11" spans="1:6">
      <c r="A11" s="7">
        <v>1030226001</v>
      </c>
      <c r="B11" s="8" t="s">
        <v>291</v>
      </c>
      <c r="C11" s="414">
        <v>0</v>
      </c>
      <c r="D11" s="415">
        <v>-16.12951</v>
      </c>
      <c r="E11" s="9" t="e">
        <f t="shared" si="2"/>
        <v>#DIV/0!</v>
      </c>
      <c r="F11" s="9">
        <f t="shared" si="1"/>
        <v>-16.12951</v>
      </c>
    </row>
    <row r="12" spans="1:6" s="6" customFormat="1">
      <c r="A12" s="68">
        <v>1050000000</v>
      </c>
      <c r="B12" s="67" t="s">
        <v>7</v>
      </c>
      <c r="C12" s="382">
        <f>SUM(C13:C13)</f>
        <v>40</v>
      </c>
      <c r="D12" s="382">
        <f>SUM(D13:D13)</f>
        <v>24.728909999999999</v>
      </c>
      <c r="E12" s="5">
        <f t="shared" si="0"/>
        <v>61.822274999999991</v>
      </c>
      <c r="F12" s="5">
        <f t="shared" si="1"/>
        <v>-15.271090000000001</v>
      </c>
    </row>
    <row r="13" spans="1:6" ht="15.75" customHeight="1">
      <c r="A13" s="7">
        <v>1050300000</v>
      </c>
      <c r="B13" s="11" t="s">
        <v>230</v>
      </c>
      <c r="C13" s="416">
        <v>40</v>
      </c>
      <c r="D13" s="415">
        <v>24.728909999999999</v>
      </c>
      <c r="E13" s="9">
        <f t="shared" si="0"/>
        <v>61.822274999999991</v>
      </c>
      <c r="F13" s="9">
        <f t="shared" si="1"/>
        <v>-15.271090000000001</v>
      </c>
    </row>
    <row r="14" spans="1:6" s="6" customFormat="1" ht="15.75" customHeight="1">
      <c r="A14" s="68">
        <v>1060000000</v>
      </c>
      <c r="B14" s="67" t="s">
        <v>136</v>
      </c>
      <c r="C14" s="382">
        <f>C15+C16</f>
        <v>2383</v>
      </c>
      <c r="D14" s="382">
        <f>D15+D16</f>
        <v>125.12922</v>
      </c>
      <c r="E14" s="5">
        <f t="shared" si="0"/>
        <v>5.2509114561477128</v>
      </c>
      <c r="F14" s="5">
        <f t="shared" si="1"/>
        <v>-2257.8707800000002</v>
      </c>
    </row>
    <row r="15" spans="1:6" s="6" customFormat="1" ht="15.75" customHeight="1">
      <c r="A15" s="7">
        <v>1060100000</v>
      </c>
      <c r="B15" s="11" t="s">
        <v>9</v>
      </c>
      <c r="C15" s="414">
        <v>1098</v>
      </c>
      <c r="D15" s="415">
        <v>9.1833299999999998</v>
      </c>
      <c r="E15" s="5">
        <f t="shared" si="0"/>
        <v>0.83636885245901638</v>
      </c>
      <c r="F15" s="9">
        <f>SUM(D15-C15)</f>
        <v>-1088.8166699999999</v>
      </c>
    </row>
    <row r="16" spans="1:6" ht="15" customHeight="1">
      <c r="A16" s="7">
        <v>1060600000</v>
      </c>
      <c r="B16" s="11" t="s">
        <v>8</v>
      </c>
      <c r="C16" s="414">
        <v>1285</v>
      </c>
      <c r="D16" s="415">
        <v>115.94589000000001</v>
      </c>
      <c r="E16" s="5">
        <f t="shared" si="0"/>
        <v>9.0230264591439688</v>
      </c>
      <c r="F16" s="9">
        <f t="shared" si="1"/>
        <v>-1169.05411</v>
      </c>
    </row>
    <row r="17" spans="1:6" s="6" customFormat="1" ht="18" customHeight="1">
      <c r="A17" s="3">
        <v>1080000000</v>
      </c>
      <c r="B17" s="4" t="s">
        <v>11</v>
      </c>
      <c r="C17" s="382">
        <f>C18</f>
        <v>13</v>
      </c>
      <c r="D17" s="382">
        <f>D18</f>
        <v>0.69</v>
      </c>
      <c r="E17" s="5">
        <f t="shared" si="0"/>
        <v>5.3076923076923066</v>
      </c>
      <c r="F17" s="5">
        <f t="shared" si="1"/>
        <v>-12.31</v>
      </c>
    </row>
    <row r="18" spans="1:6" ht="18" customHeight="1">
      <c r="A18" s="7">
        <v>1080400001</v>
      </c>
      <c r="B18" s="8" t="s">
        <v>228</v>
      </c>
      <c r="C18" s="414">
        <v>13</v>
      </c>
      <c r="D18" s="415">
        <v>0.69</v>
      </c>
      <c r="E18" s="9">
        <f t="shared" si="0"/>
        <v>5.3076923076923066</v>
      </c>
      <c r="F18" s="9">
        <f t="shared" si="1"/>
        <v>-12.31</v>
      </c>
    </row>
    <row r="19" spans="1:6" ht="0.75" hidden="1" customHeight="1">
      <c r="A19" s="7">
        <v>1080714001</v>
      </c>
      <c r="B19" s="8" t="s">
        <v>12</v>
      </c>
      <c r="C19" s="414"/>
      <c r="D19" s="4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382">
        <f>C21+C22+C23+C24</f>
        <v>0</v>
      </c>
      <c r="D20" s="382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382"/>
      <c r="D21" s="4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382"/>
      <c r="D22" s="4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382"/>
      <c r="D23" s="417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382"/>
      <c r="D24" s="417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382">
        <f>C26+C30+C32+C37+C35</f>
        <v>220</v>
      </c>
      <c r="D25" s="382">
        <f>D26+D30+D32+D35+D37</f>
        <v>133.47084999999998</v>
      </c>
      <c r="E25" s="5">
        <f t="shared" si="0"/>
        <v>60.668568181818173</v>
      </c>
      <c r="F25" s="5">
        <f t="shared" si="1"/>
        <v>-86.529150000000016</v>
      </c>
    </row>
    <row r="26" spans="1:6" s="6" customFormat="1" ht="30.75" customHeight="1">
      <c r="A26" s="68">
        <v>1110000000</v>
      </c>
      <c r="B26" s="69" t="s">
        <v>129</v>
      </c>
      <c r="C26" s="382">
        <f>C28+C29</f>
        <v>220</v>
      </c>
      <c r="D26" s="382">
        <f>D28+D29</f>
        <v>39.911000000000001</v>
      </c>
      <c r="E26" s="5">
        <f t="shared" si="0"/>
        <v>18.141363636363636</v>
      </c>
      <c r="F26" s="5">
        <f t="shared" si="1"/>
        <v>-180.089</v>
      </c>
    </row>
    <row r="27" spans="1:6">
      <c r="A27" s="16">
        <v>1110502501</v>
      </c>
      <c r="B27" s="17" t="s">
        <v>226</v>
      </c>
      <c r="C27" s="416">
        <v>0</v>
      </c>
      <c r="D27" s="415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416">
        <v>200</v>
      </c>
      <c r="D28" s="415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225</v>
      </c>
      <c r="C29" s="416">
        <v>20</v>
      </c>
      <c r="D29" s="415">
        <v>39.911000000000001</v>
      </c>
      <c r="E29" s="9">
        <f>SUM(D29/C29*100)</f>
        <v>199.55500000000001</v>
      </c>
      <c r="F29" s="9">
        <f t="shared" si="1"/>
        <v>19.911000000000001</v>
      </c>
    </row>
    <row r="30" spans="1:6" s="15" customFormat="1" ht="35.25" customHeight="1">
      <c r="A30" s="68">
        <v>1130000000</v>
      </c>
      <c r="B30" s="69" t="s">
        <v>131</v>
      </c>
      <c r="C30" s="382">
        <f>C31</f>
        <v>0</v>
      </c>
      <c r="D30" s="382">
        <f>D31</f>
        <v>93.559849999999997</v>
      </c>
      <c r="E30" s="5" t="e">
        <f t="shared" si="0"/>
        <v>#DIV/0!</v>
      </c>
      <c r="F30" s="5">
        <f t="shared" si="1"/>
        <v>93.559849999999997</v>
      </c>
    </row>
    <row r="31" spans="1:6" ht="18" customHeight="1">
      <c r="A31" s="7">
        <v>1130206005</v>
      </c>
      <c r="B31" s="8" t="s">
        <v>224</v>
      </c>
      <c r="C31" s="414">
        <v>0</v>
      </c>
      <c r="D31" s="415">
        <v>93.559849999999997</v>
      </c>
      <c r="E31" s="9" t="e">
        <f>SUM(D31/C31*100)</f>
        <v>#DIV/0!</v>
      </c>
      <c r="F31" s="9">
        <f t="shared" si="1"/>
        <v>93.559849999999997</v>
      </c>
    </row>
    <row r="32" spans="1:6" ht="17.25" customHeight="1">
      <c r="A32" s="70">
        <v>1140000000</v>
      </c>
      <c r="B32" s="71" t="s">
        <v>132</v>
      </c>
      <c r="C32" s="382">
        <f>C33+C34</f>
        <v>0</v>
      </c>
      <c r="D32" s="382">
        <f>D33+D34</f>
        <v>0</v>
      </c>
      <c r="E32" s="5" t="e">
        <f t="shared" si="0"/>
        <v>#DIV/0!</v>
      </c>
      <c r="F32" s="5">
        <f t="shared" si="1"/>
        <v>0</v>
      </c>
    </row>
    <row r="33" spans="1:7" ht="19.5" customHeight="1">
      <c r="A33" s="16">
        <v>1140200000</v>
      </c>
      <c r="B33" s="18" t="s">
        <v>133</v>
      </c>
      <c r="C33" s="414">
        <v>0</v>
      </c>
      <c r="D33" s="415">
        <v>0</v>
      </c>
      <c r="E33" s="9" t="e">
        <f t="shared" si="0"/>
        <v>#DIV/0!</v>
      </c>
      <c r="F33" s="9">
        <f t="shared" si="1"/>
        <v>0</v>
      </c>
    </row>
    <row r="34" spans="1:7">
      <c r="A34" s="7">
        <v>1140600000</v>
      </c>
      <c r="B34" s="8" t="s">
        <v>223</v>
      </c>
      <c r="C34" s="414">
        <v>0</v>
      </c>
      <c r="D34" s="415">
        <v>0</v>
      </c>
      <c r="E34" s="9" t="e">
        <f t="shared" si="0"/>
        <v>#DIV/0!</v>
      </c>
      <c r="F34" s="9">
        <f t="shared" si="1"/>
        <v>0</v>
      </c>
    </row>
    <row r="35" spans="1:7">
      <c r="A35" s="100">
        <v>1163305010</v>
      </c>
      <c r="B35" s="13" t="s">
        <v>252</v>
      </c>
      <c r="C35" s="382">
        <f>C36</f>
        <v>0</v>
      </c>
      <c r="D35" s="417">
        <f>D36</f>
        <v>0</v>
      </c>
      <c r="E35" s="9" t="e">
        <f t="shared" si="0"/>
        <v>#DIV/0!</v>
      </c>
      <c r="F35" s="9">
        <f t="shared" si="1"/>
        <v>0</v>
      </c>
    </row>
    <row r="36" spans="1:7" ht="63">
      <c r="A36" s="7">
        <v>1163305010</v>
      </c>
      <c r="B36" s="8" t="s">
        <v>268</v>
      </c>
      <c r="C36" s="414">
        <v>0</v>
      </c>
      <c r="D36" s="415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135</v>
      </c>
      <c r="C37" s="382">
        <f>C38+C39</f>
        <v>0</v>
      </c>
      <c r="D37" s="382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414">
        <v>0</v>
      </c>
      <c r="D38" s="414"/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414">
        <v>0</v>
      </c>
      <c r="D39" s="415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3735.44</v>
      </c>
      <c r="D40" s="127">
        <f>D4+D25</f>
        <v>559.24259000000006</v>
      </c>
      <c r="E40" s="5">
        <f t="shared" si="0"/>
        <v>14.971264161651639</v>
      </c>
      <c r="F40" s="5">
        <f t="shared" si="1"/>
        <v>-3176.1974099999998</v>
      </c>
    </row>
    <row r="41" spans="1:7" s="6" customFormat="1" ht="20.25" customHeight="1">
      <c r="A41" s="3">
        <v>2000000000</v>
      </c>
      <c r="B41" s="4" t="s">
        <v>20</v>
      </c>
      <c r="C41" s="379">
        <f>C42+C43+C44+C46+C47+C45+C48</f>
        <v>8320.0083899999991</v>
      </c>
      <c r="D41" s="383">
        <f>D42+D43+D44+D46+D47+D45+D48</f>
        <v>1460.8310000000001</v>
      </c>
      <c r="E41" s="5">
        <f t="shared" si="0"/>
        <v>17.558047198075005</v>
      </c>
      <c r="F41" s="5">
        <f t="shared" si="1"/>
        <v>-6859.1773899999989</v>
      </c>
      <c r="G41" s="19"/>
    </row>
    <row r="42" spans="1:7" ht="19.5" customHeight="1">
      <c r="A42" s="16">
        <v>2021000000</v>
      </c>
      <c r="B42" s="17" t="s">
        <v>21</v>
      </c>
      <c r="C42" s="380">
        <v>3003</v>
      </c>
      <c r="D42" s="381">
        <v>750.6</v>
      </c>
      <c r="E42" s="9">
        <f t="shared" si="0"/>
        <v>24.995004995004997</v>
      </c>
      <c r="F42" s="9">
        <f t="shared" si="1"/>
        <v>-2252.4</v>
      </c>
    </row>
    <row r="43" spans="1:7" ht="27.7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4805.0308999999997</v>
      </c>
      <c r="D44" s="10">
        <v>336.74200000000002</v>
      </c>
      <c r="E44" s="9">
        <f t="shared" si="0"/>
        <v>7.0081131007919222</v>
      </c>
      <c r="F44" s="9">
        <f t="shared" si="1"/>
        <v>-4468.2888999999996</v>
      </c>
    </row>
    <row r="45" spans="1:7">
      <c r="A45" s="16">
        <v>2022999910</v>
      </c>
      <c r="B45" s="18" t="s">
        <v>350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183.01900000000001</v>
      </c>
      <c r="D46" s="250">
        <v>44.499000000000002</v>
      </c>
      <c r="E46" s="9">
        <f t="shared" si="0"/>
        <v>24.313869051847075</v>
      </c>
      <c r="F46" s="9">
        <f t="shared" si="1"/>
        <v>-138.52000000000001</v>
      </c>
    </row>
    <row r="47" spans="1:7">
      <c r="A47" s="16">
        <v>2020400000</v>
      </c>
      <c r="B47" s="17" t="s">
        <v>24</v>
      </c>
      <c r="C47" s="12">
        <v>0</v>
      </c>
      <c r="D47" s="251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351</v>
      </c>
      <c r="C48" s="12">
        <v>328.95848999999998</v>
      </c>
      <c r="D48" s="251">
        <v>328.99</v>
      </c>
      <c r="E48" s="9">
        <f t="shared" si="0"/>
        <v>100.00957871614744</v>
      </c>
      <c r="F48" s="9">
        <f t="shared" si="1"/>
        <v>3.1510000000025684E-2</v>
      </c>
    </row>
    <row r="49" spans="1:8" ht="47.25" hidden="1">
      <c r="A49" s="16">
        <v>2020900000</v>
      </c>
      <c r="B49" s="18" t="s">
        <v>25</v>
      </c>
      <c r="C49" s="12"/>
      <c r="D49" s="251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382">
        <f>SUM(C40,C41,C51)</f>
        <v>12055.44839</v>
      </c>
      <c r="D52" s="390">
        <f>D40+D41</f>
        <v>2020.0735900000002</v>
      </c>
      <c r="E52" s="5">
        <f t="shared" si="0"/>
        <v>16.756519746504427</v>
      </c>
      <c r="F52" s="5">
        <f t="shared" si="1"/>
        <v>-10035.3748</v>
      </c>
      <c r="G52" s="94">
        <f>D52-1187.43232</f>
        <v>832.6412700000003</v>
      </c>
      <c r="H52" s="94"/>
    </row>
    <row r="53" spans="1:8" s="6" customFormat="1">
      <c r="A53" s="3"/>
      <c r="B53" s="21" t="s">
        <v>321</v>
      </c>
      <c r="C53" s="341">
        <f>C52-C101</f>
        <v>-1205.1446799999994</v>
      </c>
      <c r="D53" s="341">
        <f>D52-D101</f>
        <v>311.4982700000005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412</v>
      </c>
      <c r="D55" s="147" t="s">
        <v>423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1757.5429999999999</v>
      </c>
      <c r="D57" s="102">
        <f>D58+D59+D60+D61+D62+D64+D63</f>
        <v>297.60969999999998</v>
      </c>
      <c r="E57" s="34">
        <f>SUM(D57/C57*100)</f>
        <v>16.933281290984063</v>
      </c>
      <c r="F57" s="34">
        <f>SUM(D57-C57)</f>
        <v>-1459.9332999999999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1746.6</v>
      </c>
      <c r="D59" s="92">
        <v>291.66719999999998</v>
      </c>
      <c r="E59" s="38">
        <f t="shared" ref="E59:E101" si="3">SUM(D59/C59*100)</f>
        <v>16.699141188594986</v>
      </c>
      <c r="F59" s="38">
        <f t="shared" ref="F59:F101" si="4">SUM(D59-C59)</f>
        <v>-1454.9328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5.9429999999999996</v>
      </c>
      <c r="D64" s="92">
        <v>5.9424999999999999</v>
      </c>
      <c r="E64" s="38">
        <f t="shared" si="3"/>
        <v>99.991586740703355</v>
      </c>
      <c r="F64" s="38">
        <f t="shared" si="4"/>
        <v>-4.9999999999972289E-4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179.892</v>
      </c>
      <c r="D65" s="22">
        <f>D66</f>
        <v>31.40155</v>
      </c>
      <c r="E65" s="34">
        <f t="shared" si="3"/>
        <v>17.455779022969338</v>
      </c>
      <c r="F65" s="34">
        <f t="shared" si="4"/>
        <v>-148.49045000000001</v>
      </c>
    </row>
    <row r="66" spans="1:7">
      <c r="A66" s="43" t="s">
        <v>48</v>
      </c>
      <c r="B66" s="44" t="s">
        <v>49</v>
      </c>
      <c r="C66" s="92">
        <v>179.892</v>
      </c>
      <c r="D66" s="92">
        <v>31.40155</v>
      </c>
      <c r="E66" s="38">
        <f t="shared" si="3"/>
        <v>17.455779022969338</v>
      </c>
      <c r="F66" s="38">
        <f t="shared" si="4"/>
        <v>-148.49045000000001</v>
      </c>
    </row>
    <row r="67" spans="1:7" s="6" customFormat="1" ht="20.25" customHeight="1">
      <c r="A67" s="30" t="s">
        <v>50</v>
      </c>
      <c r="B67" s="31" t="s">
        <v>51</v>
      </c>
      <c r="C67" s="437">
        <f>C70+C72+C71</f>
        <v>6</v>
      </c>
      <c r="D67" s="437">
        <f>D70+D72</f>
        <v>0</v>
      </c>
      <c r="E67" s="34">
        <f t="shared" si="3"/>
        <v>0</v>
      </c>
      <c r="F67" s="34">
        <f t="shared" si="4"/>
        <v>-6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358</v>
      </c>
      <c r="B71" s="47" t="s">
        <v>359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219</v>
      </c>
      <c r="B72" s="47" t="s">
        <v>220</v>
      </c>
      <c r="C72" s="92">
        <v>2</v>
      </c>
      <c r="D72" s="92">
        <v>0</v>
      </c>
      <c r="E72" s="38">
        <f t="shared" si="3"/>
        <v>0</v>
      </c>
      <c r="F72" s="38">
        <f t="shared" si="4"/>
        <v>-2</v>
      </c>
    </row>
    <row r="73" spans="1:7" s="6" customFormat="1" ht="17.25" customHeight="1">
      <c r="A73" s="465"/>
      <c r="B73" s="31" t="s">
        <v>59</v>
      </c>
      <c r="C73" s="438">
        <f>C75+C76+C77+C74</f>
        <v>4771.1170399999992</v>
      </c>
      <c r="D73" s="105">
        <f>SUM(D74:D77)</f>
        <v>595.70920999999998</v>
      </c>
      <c r="E73" s="34">
        <f t="shared" si="3"/>
        <v>12.485738769468545</v>
      </c>
      <c r="F73" s="34">
        <f t="shared" si="4"/>
        <v>-4175.4078299999992</v>
      </c>
    </row>
    <row r="74" spans="1:7" ht="15.75" customHeight="1">
      <c r="A74" s="35" t="s">
        <v>60</v>
      </c>
      <c r="B74" s="39" t="s">
        <v>61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62</v>
      </c>
      <c r="B75" s="39" t="s">
        <v>63</v>
      </c>
      <c r="C75" s="106">
        <v>1000</v>
      </c>
      <c r="D75" s="92">
        <v>320.19317000000001</v>
      </c>
      <c r="E75" s="38">
        <f t="shared" si="3"/>
        <v>32.019317000000001</v>
      </c>
      <c r="F75" s="38">
        <f t="shared" si="4"/>
        <v>-679.80682999999999</v>
      </c>
      <c r="G75" s="50"/>
    </row>
    <row r="76" spans="1:7">
      <c r="A76" s="35" t="s">
        <v>64</v>
      </c>
      <c r="B76" s="39" t="s">
        <v>65</v>
      </c>
      <c r="C76" s="106">
        <v>3763.07404</v>
      </c>
      <c r="D76" s="92">
        <v>275.51603999999998</v>
      </c>
      <c r="E76" s="38">
        <f t="shared" si="3"/>
        <v>7.3215684058132418</v>
      </c>
      <c r="F76" s="38">
        <f t="shared" si="4"/>
        <v>-3487.558</v>
      </c>
    </row>
    <row r="77" spans="1:7">
      <c r="A77" s="35" t="s">
        <v>66</v>
      </c>
      <c r="B77" s="39" t="s">
        <v>67</v>
      </c>
      <c r="C77" s="106">
        <v>0</v>
      </c>
      <c r="D77" s="92">
        <v>0</v>
      </c>
      <c r="E77" s="38" t="e">
        <f t="shared" si="3"/>
        <v>#DIV/0!</v>
      </c>
      <c r="F77" s="38">
        <f t="shared" si="4"/>
        <v>0</v>
      </c>
    </row>
    <row r="78" spans="1:7" s="6" customFormat="1" ht="24" customHeight="1">
      <c r="A78" s="30" t="s">
        <v>68</v>
      </c>
      <c r="B78" s="31" t="s">
        <v>69</v>
      </c>
      <c r="C78" s="22">
        <f>SUM(C79:C82)</f>
        <v>3538.8530300000002</v>
      </c>
      <c r="D78" s="22">
        <f>SUM(D79:D82)</f>
        <v>123.14801</v>
      </c>
      <c r="E78" s="34">
        <f t="shared" si="3"/>
        <v>3.4798848371501876</v>
      </c>
      <c r="F78" s="34">
        <f t="shared" si="4"/>
        <v>-3415.7050200000003</v>
      </c>
    </row>
    <row r="79" spans="1:7" ht="2.25" hidden="1" customHeight="1">
      <c r="A79" s="35" t="s">
        <v>70</v>
      </c>
      <c r="B79" s="51" t="s">
        <v>71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72</v>
      </c>
      <c r="B80" s="51" t="s">
        <v>73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74</v>
      </c>
      <c r="B81" s="39" t="s">
        <v>75</v>
      </c>
      <c r="C81" s="92">
        <v>3538.8530300000002</v>
      </c>
      <c r="D81" s="92">
        <v>123.14801</v>
      </c>
      <c r="E81" s="38">
        <f t="shared" si="3"/>
        <v>3.4798848371501876</v>
      </c>
      <c r="F81" s="38">
        <f t="shared" si="4"/>
        <v>-3415.7050200000003</v>
      </c>
    </row>
    <row r="82" spans="1:6" ht="18" hidden="1" customHeight="1">
      <c r="A82" s="35" t="s">
        <v>264</v>
      </c>
      <c r="B82" s="39" t="s">
        <v>265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86</v>
      </c>
      <c r="B83" s="31" t="s">
        <v>87</v>
      </c>
      <c r="C83" s="22">
        <f>C84+C85</f>
        <v>2987.1880000000001</v>
      </c>
      <c r="D83" s="22">
        <f>D84+D85</f>
        <v>651.61685</v>
      </c>
      <c r="E83" s="34">
        <f t="shared" si="3"/>
        <v>21.813720796950175</v>
      </c>
      <c r="F83" s="34">
        <f t="shared" si="4"/>
        <v>-2335.5711500000002</v>
      </c>
    </row>
    <row r="84" spans="1:6" ht="14.25" customHeight="1">
      <c r="A84" s="35" t="s">
        <v>88</v>
      </c>
      <c r="B84" s="39" t="s">
        <v>234</v>
      </c>
      <c r="C84" s="92">
        <v>2987.1880000000001</v>
      </c>
      <c r="D84" s="92">
        <v>651.61685</v>
      </c>
      <c r="E84" s="38">
        <f t="shared" si="3"/>
        <v>21.813720796950175</v>
      </c>
      <c r="F84" s="38">
        <f t="shared" si="4"/>
        <v>-2335.5711500000002</v>
      </c>
    </row>
    <row r="85" spans="1:6" ht="14.25" customHeight="1">
      <c r="A85" s="35" t="s">
        <v>273</v>
      </c>
      <c r="B85" s="39" t="s">
        <v>274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89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>
      <c r="A87" s="53">
        <v>1001</v>
      </c>
      <c r="B87" s="54" t="s">
        <v>90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91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92</v>
      </c>
      <c r="C89" s="92"/>
      <c r="D89" s="275"/>
      <c r="E89" s="34" t="e">
        <f t="shared" si="3"/>
        <v>#DIV/0!</v>
      </c>
      <c r="F89" s="38">
        <f t="shared" si="4"/>
        <v>0</v>
      </c>
    </row>
    <row r="90" spans="1:6">
      <c r="A90" s="35" t="s">
        <v>93</v>
      </c>
      <c r="B90" s="39" t="s">
        <v>94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22">
        <f>C92+C93+C94+C95+C96</f>
        <v>20</v>
      </c>
      <c r="D91" s="22">
        <f>D92+D93+D94+D95+D96</f>
        <v>9.09</v>
      </c>
      <c r="E91" s="34">
        <f t="shared" si="3"/>
        <v>45.45</v>
      </c>
      <c r="F91" s="22">
        <f>F92+F93+F94+F95+F96</f>
        <v>-10.91</v>
      </c>
    </row>
    <row r="92" spans="1:6" ht="15.75" customHeight="1">
      <c r="A92" s="35" t="s">
        <v>97</v>
      </c>
      <c r="B92" s="39" t="s">
        <v>98</v>
      </c>
      <c r="C92" s="92">
        <v>20</v>
      </c>
      <c r="D92" s="92">
        <v>9.09</v>
      </c>
      <c r="E92" s="38">
        <f t="shared" si="3"/>
        <v>45.45</v>
      </c>
      <c r="F92" s="38">
        <f>SUM(D92-C92)</f>
        <v>-10.91</v>
      </c>
    </row>
    <row r="93" spans="1:6" ht="15" hidden="1" customHeight="1">
      <c r="A93" s="35" t="s">
        <v>99</v>
      </c>
      <c r="B93" s="39" t="s">
        <v>100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239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115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customHeight="1">
      <c r="A98" s="53">
        <v>1401</v>
      </c>
      <c r="B98" s="54" t="s">
        <v>116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customHeight="1">
      <c r="A99" s="53">
        <v>1402</v>
      </c>
      <c r="B99" s="54" t="s">
        <v>117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customHeight="1">
      <c r="A100" s="53">
        <v>1403</v>
      </c>
      <c r="B100" s="54" t="s">
        <v>118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119</v>
      </c>
      <c r="C101" s="391">
        <f>C57+C65+C67+C73+C78+C83+C91+C86+C97</f>
        <v>13260.593069999999</v>
      </c>
      <c r="D101" s="391">
        <f>D57+D65+D67+D73+D78+D83+D91+D86+D97</f>
        <v>1708.5753199999997</v>
      </c>
      <c r="E101" s="34">
        <f t="shared" si="3"/>
        <v>12.884607128661402</v>
      </c>
      <c r="F101" s="34">
        <f t="shared" si="4"/>
        <v>-11552.017749999999</v>
      </c>
      <c r="G101" s="94"/>
    </row>
    <row r="102" spans="1:7" ht="5.25" customHeight="1">
      <c r="D102" s="61"/>
    </row>
    <row r="103" spans="1:7" s="65" customFormat="1" ht="12.75">
      <c r="A103" s="63" t="s">
        <v>120</v>
      </c>
      <c r="B103" s="63"/>
      <c r="C103" s="133"/>
      <c r="D103" s="64"/>
    </row>
    <row r="104" spans="1:7" s="65" customFormat="1" ht="12.75">
      <c r="A104" s="66" t="s">
        <v>121</v>
      </c>
      <c r="B104" s="66"/>
      <c r="C104" s="133" t="s">
        <v>122</v>
      </c>
    </row>
  </sheetData>
  <customSheetViews>
    <customSheetView guid="{35821C05-60FE-4C33-8558-8CF10812F6FC}" hiddenRows="1" topLeftCell="A53">
      <selection activeCell="C100" sqref="C100"/>
      <pageMargins left="0.75" right="0.75" top="1" bottom="1" header="0.5" footer="0.5"/>
      <pageSetup paperSize="9" scale="46" orientation="portrait" r:id="rId1"/>
      <headerFooter alignWithMargins="0"/>
    </customSheetView>
    <customSheetView guid="{B31C8DB7-3E78-4144-A6B5-8DE36DE63F0E}" hiddenRows="1" topLeftCell="A33">
      <selection activeCell="D45" sqref="D45"/>
      <pageMargins left="0.75" right="0.75" top="1" bottom="1" header="0.5" footer="0.5"/>
      <pageSetup paperSize="9" scale="46" orientation="portrait" r:id="rId2"/>
      <headerFooter alignWithMargins="0"/>
    </customSheetView>
    <customSheetView guid="{61528DAC-5C4C-48F4-ADE2-8A724B05A086}" scale="70" showPageBreaks="1" printArea="1" hiddenRows="1" view="pageBreakPreview" topLeftCell="A30">
      <selection activeCell="D77" sqref="D77"/>
      <pageMargins left="0.74803149606299213" right="0.74803149606299213" top="0.98425196850393704" bottom="0.98425196850393704" header="0.51181102362204722" footer="0.51181102362204722"/>
      <pageSetup paperSize="9" scale="59" orientation="portrait" r:id="rId3"/>
      <headerFooter alignWithMargins="0"/>
    </customSheetView>
    <customSheetView guid="{B30CE22D-C12F-4E12-8BB9-3AAE0A6991CC}" scale="70" showPageBreaks="1" printArea="1" hiddenRows="1" view="pageBreakPreview">
      <selection activeCell="C3" sqref="C3"/>
      <pageMargins left="0.74803149606299213" right="0.74803149606299213" top="0.98425196850393704" bottom="0.98425196850393704" header="0.51181102362204722" footer="0.51181102362204722"/>
      <pageSetup paperSize="9" scale="59" orientation="portrait" r:id="rId4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5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6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7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8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9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6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5"/>
  <sheetViews>
    <sheetView view="pageBreakPreview" topLeftCell="A49" zoomScale="89" zoomScaleNormal="100" zoomScaleSheetLayoutView="70" workbookViewId="0">
      <selection activeCell="D76" sqref="D76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437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1771.4749999999999</v>
      </c>
      <c r="D4" s="382">
        <f>D5+D12+D14+D17+D7</f>
        <v>235.07594999999998</v>
      </c>
      <c r="E4" s="5">
        <f>SUM(D4/C4*100)</f>
        <v>13.270068728037367</v>
      </c>
      <c r="F4" s="5">
        <f>SUM(D4-C4)</f>
        <v>-1536.39905</v>
      </c>
    </row>
    <row r="5" spans="1:6" s="6" customFormat="1">
      <c r="A5" s="68">
        <v>1010000000</v>
      </c>
      <c r="B5" s="67" t="s">
        <v>6</v>
      </c>
      <c r="C5" s="5">
        <f>C6</f>
        <v>100.23</v>
      </c>
      <c r="D5" s="382">
        <f>D6</f>
        <v>12.36163</v>
      </c>
      <c r="E5" s="5">
        <f t="shared" ref="E5:E52" si="0">SUM(D5/C5*100)</f>
        <v>12.333263493963882</v>
      </c>
      <c r="F5" s="5">
        <f t="shared" ref="F5:F52" si="1">SUM(D5-C5)</f>
        <v>-87.868369999999999</v>
      </c>
    </row>
    <row r="6" spans="1:6">
      <c r="A6" s="7">
        <v>1010200001</v>
      </c>
      <c r="B6" s="8" t="s">
        <v>229</v>
      </c>
      <c r="C6" s="9">
        <v>100.23</v>
      </c>
      <c r="D6" s="415">
        <v>12.36163</v>
      </c>
      <c r="E6" s="9">
        <f t="shared" ref="E6:E11" si="2">SUM(D6/C6*100)</f>
        <v>12.333263493963882</v>
      </c>
      <c r="F6" s="9">
        <f t="shared" si="1"/>
        <v>-87.868369999999999</v>
      </c>
    </row>
    <row r="7" spans="1:6" ht="31.5">
      <c r="A7" s="3">
        <v>1030000000</v>
      </c>
      <c r="B7" s="13" t="s">
        <v>281</v>
      </c>
      <c r="C7" s="341">
        <f>C8+C10+C9</f>
        <v>601.24499999999989</v>
      </c>
      <c r="D7" s="382">
        <f>D8+D10+D9+D11</f>
        <v>176.44418999999999</v>
      </c>
      <c r="E7" s="9">
        <f t="shared" si="2"/>
        <v>29.346471072524515</v>
      </c>
      <c r="F7" s="9">
        <f t="shared" si="1"/>
        <v>-424.8008099999999</v>
      </c>
    </row>
    <row r="8" spans="1:6">
      <c r="A8" s="7">
        <v>1030223001</v>
      </c>
      <c r="B8" s="8" t="s">
        <v>283</v>
      </c>
      <c r="C8" s="9">
        <v>224.26</v>
      </c>
      <c r="D8" s="415">
        <v>77.510679999999994</v>
      </c>
      <c r="E8" s="9">
        <f t="shared" si="2"/>
        <v>34.56286453223936</v>
      </c>
      <c r="F8" s="9">
        <f t="shared" si="1"/>
        <v>-146.74932000000001</v>
      </c>
    </row>
    <row r="9" spans="1:6">
      <c r="A9" s="7">
        <v>1030224001</v>
      </c>
      <c r="B9" s="8" t="s">
        <v>289</v>
      </c>
      <c r="C9" s="9">
        <v>2.4049999999999998</v>
      </c>
      <c r="D9" s="415">
        <v>0.54157</v>
      </c>
      <c r="E9" s="9">
        <f t="shared" si="2"/>
        <v>22.518503118503119</v>
      </c>
      <c r="F9" s="9">
        <f t="shared" si="1"/>
        <v>-1.8634299999999997</v>
      </c>
    </row>
    <row r="10" spans="1:6">
      <c r="A10" s="7">
        <v>1030225001</v>
      </c>
      <c r="B10" s="8" t="s">
        <v>282</v>
      </c>
      <c r="C10" s="9">
        <v>374.58</v>
      </c>
      <c r="D10" s="415">
        <v>113.64664</v>
      </c>
      <c r="E10" s="9">
        <f t="shared" si="2"/>
        <v>30.339751187997226</v>
      </c>
      <c r="F10" s="9">
        <f t="shared" si="1"/>
        <v>-260.93335999999999</v>
      </c>
    </row>
    <row r="11" spans="1:6">
      <c r="A11" s="7">
        <v>1030226001</v>
      </c>
      <c r="B11" s="8" t="s">
        <v>291</v>
      </c>
      <c r="C11" s="9">
        <v>0</v>
      </c>
      <c r="D11" s="415">
        <v>-15.2547</v>
      </c>
      <c r="E11" s="9" t="e">
        <f t="shared" si="2"/>
        <v>#DIV/0!</v>
      </c>
      <c r="F11" s="9">
        <f t="shared" si="1"/>
        <v>-15.2547</v>
      </c>
    </row>
    <row r="12" spans="1:6" s="6" customFormat="1">
      <c r="A12" s="68">
        <v>1050000000</v>
      </c>
      <c r="B12" s="67" t="s">
        <v>7</v>
      </c>
      <c r="C12" s="5">
        <f>SUM(C13:C13)</f>
        <v>7</v>
      </c>
      <c r="D12" s="382">
        <f>SUM(D13:D13)</f>
        <v>0.12393</v>
      </c>
      <c r="E12" s="5">
        <f t="shared" si="0"/>
        <v>1.7704285714285715</v>
      </c>
      <c r="F12" s="5">
        <f t="shared" si="1"/>
        <v>-6.8760700000000003</v>
      </c>
    </row>
    <row r="13" spans="1:6" ht="15.75" customHeight="1">
      <c r="A13" s="7">
        <v>1050300000</v>
      </c>
      <c r="B13" s="11" t="s">
        <v>230</v>
      </c>
      <c r="C13" s="12">
        <v>7</v>
      </c>
      <c r="D13" s="415">
        <v>0.12393</v>
      </c>
      <c r="E13" s="9">
        <f t="shared" si="0"/>
        <v>1.7704285714285715</v>
      </c>
      <c r="F13" s="9">
        <f t="shared" si="1"/>
        <v>-6.8760700000000003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1058</v>
      </c>
      <c r="D14" s="382">
        <f>D15+D16</f>
        <v>46.146199999999993</v>
      </c>
      <c r="E14" s="5">
        <f t="shared" si="0"/>
        <v>4.3616446124763693</v>
      </c>
      <c r="F14" s="5">
        <f t="shared" si="1"/>
        <v>-1011.8538</v>
      </c>
    </row>
    <row r="15" spans="1:6" s="6" customFormat="1" ht="15.75" customHeight="1">
      <c r="A15" s="7">
        <v>1060100000</v>
      </c>
      <c r="B15" s="11" t="s">
        <v>9</v>
      </c>
      <c r="C15" s="9">
        <v>248</v>
      </c>
      <c r="D15" s="415">
        <v>6.6738999999999997</v>
      </c>
      <c r="E15" s="9">
        <f t="shared" si="0"/>
        <v>2.6910887096774192</v>
      </c>
      <c r="F15" s="9">
        <f>SUM(D15-C15)</f>
        <v>-241.3261</v>
      </c>
    </row>
    <row r="16" spans="1:6" ht="15.75" customHeight="1">
      <c r="A16" s="7">
        <v>1060600000</v>
      </c>
      <c r="B16" s="11" t="s">
        <v>8</v>
      </c>
      <c r="C16" s="9">
        <v>810</v>
      </c>
      <c r="D16" s="415">
        <v>39.472299999999997</v>
      </c>
      <c r="E16" s="9">
        <f t="shared" si="0"/>
        <v>4.8731234567901227</v>
      </c>
      <c r="F16" s="9">
        <f t="shared" si="1"/>
        <v>-770.52769999999998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382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415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415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382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417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417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417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417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220</v>
      </c>
      <c r="D25" s="382">
        <f>D26+D30+D32+D37+D35</f>
        <v>31.77938</v>
      </c>
      <c r="E25" s="5">
        <f t="shared" si="0"/>
        <v>14.445172727272727</v>
      </c>
      <c r="F25" s="5">
        <f t="shared" si="1"/>
        <v>-188.22062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220</v>
      </c>
      <c r="D26" s="5">
        <f>D27+D28+D29</f>
        <v>21.740449999999999</v>
      </c>
      <c r="E26" s="5">
        <f t="shared" si="0"/>
        <v>9.8820227272727266</v>
      </c>
      <c r="F26" s="5">
        <f t="shared" si="1"/>
        <v>-198.25954999999999</v>
      </c>
    </row>
    <row r="27" spans="1:6">
      <c r="A27" s="16">
        <v>1110501101</v>
      </c>
      <c r="B27" s="17" t="s">
        <v>226</v>
      </c>
      <c r="C27" s="12">
        <v>0</v>
      </c>
      <c r="D27" s="415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200</v>
      </c>
      <c r="D28" s="415">
        <v>3.05</v>
      </c>
      <c r="E28" s="9">
        <f t="shared" si="0"/>
        <v>1.5249999999999999</v>
      </c>
      <c r="F28" s="9">
        <f t="shared" si="1"/>
        <v>-196.95</v>
      </c>
    </row>
    <row r="29" spans="1:6" ht="18" customHeight="1">
      <c r="A29" s="7">
        <v>1110503505</v>
      </c>
      <c r="B29" s="11" t="s">
        <v>225</v>
      </c>
      <c r="C29" s="12">
        <v>20</v>
      </c>
      <c r="D29" s="415">
        <v>18.690449999999998</v>
      </c>
      <c r="E29" s="9">
        <f t="shared" si="0"/>
        <v>93.452249999999992</v>
      </c>
      <c r="F29" s="9">
        <f t="shared" si="1"/>
        <v>-1.3095500000000015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382">
        <f>D31</f>
        <v>10.038930000000001</v>
      </c>
      <c r="E30" s="5" t="e">
        <f t="shared" si="0"/>
        <v>#DIV/0!</v>
      </c>
      <c r="F30" s="5">
        <f t="shared" si="1"/>
        <v>10.038930000000001</v>
      </c>
    </row>
    <row r="31" spans="1:6" hidden="1">
      <c r="A31" s="7">
        <v>1130305005</v>
      </c>
      <c r="B31" s="8" t="s">
        <v>15</v>
      </c>
      <c r="C31" s="9">
        <v>0</v>
      </c>
      <c r="D31" s="415">
        <v>10.038930000000001</v>
      </c>
      <c r="E31" s="9" t="e">
        <f t="shared" si="0"/>
        <v>#DIV/0!</v>
      </c>
      <c r="F31" s="9">
        <f t="shared" si="1"/>
        <v>10.038930000000001</v>
      </c>
    </row>
    <row r="32" spans="1:6" ht="17.25" customHeight="1">
      <c r="A32" s="70">
        <v>1140000000</v>
      </c>
      <c r="B32" s="71" t="s">
        <v>132</v>
      </c>
      <c r="C32" s="5">
        <f>C34</f>
        <v>0</v>
      </c>
      <c r="D32" s="382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415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415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382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415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382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414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415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1991.4749999999999</v>
      </c>
      <c r="D40" s="424">
        <f>D4+D25</f>
        <v>266.85532999999998</v>
      </c>
      <c r="E40" s="5">
        <f t="shared" si="0"/>
        <v>13.399883503433385</v>
      </c>
      <c r="F40" s="5">
        <f t="shared" si="1"/>
        <v>-1724.61967</v>
      </c>
    </row>
    <row r="41" spans="1:7" s="6" customFormat="1">
      <c r="A41" s="3">
        <v>2000000000</v>
      </c>
      <c r="B41" s="4" t="s">
        <v>20</v>
      </c>
      <c r="C41" s="382">
        <f>C42+C44+C46+C47+C48+C49+C43+C45+C51</f>
        <v>7087.7537100000009</v>
      </c>
      <c r="D41" s="382">
        <f>D42+D44+D46+D47+D48+D49+D43+D45+D51</f>
        <v>514.27500000000009</v>
      </c>
      <c r="E41" s="5">
        <f t="shared" si="0"/>
        <v>7.255824920586865</v>
      </c>
      <c r="F41" s="5">
        <f t="shared" si="1"/>
        <v>-6573.4787100000012</v>
      </c>
      <c r="G41" s="19"/>
    </row>
    <row r="42" spans="1:7">
      <c r="A42" s="16">
        <v>2021000000</v>
      </c>
      <c r="B42" s="17" t="s">
        <v>21</v>
      </c>
      <c r="C42" s="419">
        <v>1759.1</v>
      </c>
      <c r="D42" s="425">
        <v>439.77600000000001</v>
      </c>
      <c r="E42" s="9">
        <f t="shared" si="0"/>
        <v>25.00005684725144</v>
      </c>
      <c r="F42" s="9">
        <f t="shared" si="1"/>
        <v>-1319.3239999999998</v>
      </c>
    </row>
    <row r="43" spans="1:7">
      <c r="A43" s="16">
        <v>2021500200</v>
      </c>
      <c r="B43" s="17" t="s">
        <v>232</v>
      </c>
      <c r="C43" s="416">
        <v>270</v>
      </c>
      <c r="D43" s="425">
        <v>30</v>
      </c>
      <c r="E43" s="9">
        <f t="shared" si="0"/>
        <v>11.111111111111111</v>
      </c>
      <c r="F43" s="9">
        <f t="shared" si="1"/>
        <v>-240</v>
      </c>
    </row>
    <row r="44" spans="1:7" ht="16.5" customHeight="1">
      <c r="A44" s="16">
        <v>2022000000</v>
      </c>
      <c r="B44" s="17" t="s">
        <v>22</v>
      </c>
      <c r="C44" s="416">
        <v>3964.4985700000002</v>
      </c>
      <c r="D44" s="415">
        <v>0</v>
      </c>
      <c r="E44" s="9">
        <f t="shared" si="0"/>
        <v>0</v>
      </c>
      <c r="F44" s="9">
        <f t="shared" si="1"/>
        <v>-3964.4985700000002</v>
      </c>
    </row>
    <row r="45" spans="1:7" hidden="1">
      <c r="A45" s="16">
        <v>2022999910</v>
      </c>
      <c r="B45" s="18" t="s">
        <v>350</v>
      </c>
      <c r="C45" s="416"/>
      <c r="D45" s="415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416">
        <v>181.08199999999999</v>
      </c>
      <c r="D46" s="426">
        <v>44.499000000000002</v>
      </c>
      <c r="E46" s="9">
        <f>SUM(D46/C46*100)</f>
        <v>24.573949923239198</v>
      </c>
      <c r="F46" s="9">
        <f>SUM(D46-C46)</f>
        <v>-136.583</v>
      </c>
    </row>
    <row r="47" spans="1:7">
      <c r="A47" s="16">
        <v>2024000000</v>
      </c>
      <c r="B47" s="17" t="s">
        <v>24</v>
      </c>
      <c r="C47" s="416">
        <v>641.37527999999998</v>
      </c>
      <c r="D47" s="427">
        <v>0</v>
      </c>
      <c r="E47" s="9">
        <f t="shared" si="0"/>
        <v>0</v>
      </c>
      <c r="F47" s="9">
        <f t="shared" si="1"/>
        <v>-641.37527999999998</v>
      </c>
    </row>
    <row r="48" spans="1:7" ht="47.25">
      <c r="A48" s="16">
        <v>2020900000</v>
      </c>
      <c r="B48" s="18" t="s">
        <v>25</v>
      </c>
      <c r="C48" s="416">
        <v>0</v>
      </c>
      <c r="D48" s="427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415">
        <v>0</v>
      </c>
      <c r="D49" s="415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420">
        <v>0</v>
      </c>
      <c r="D50" s="417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357</v>
      </c>
      <c r="C51" s="416">
        <v>271.69785999999999</v>
      </c>
      <c r="D51" s="415">
        <v>0</v>
      </c>
      <c r="E51" s="9">
        <f t="shared" si="0"/>
        <v>0</v>
      </c>
      <c r="F51" s="9">
        <f t="shared" si="1"/>
        <v>-271.69785999999999</v>
      </c>
    </row>
    <row r="52" spans="1:8" s="6" customFormat="1" ht="23.25" customHeight="1">
      <c r="A52" s="3"/>
      <c r="B52" s="4" t="s">
        <v>28</v>
      </c>
      <c r="C52" s="341">
        <f>C40+C41</f>
        <v>9079.2287100000012</v>
      </c>
      <c r="D52" s="421">
        <f>D40+D41</f>
        <v>781.13033000000007</v>
      </c>
      <c r="E52" s="5">
        <f t="shared" si="0"/>
        <v>8.6034877515493271</v>
      </c>
      <c r="F52" s="5">
        <f t="shared" si="1"/>
        <v>-8298.0983800000013</v>
      </c>
      <c r="G52" s="94"/>
      <c r="H52" s="94"/>
    </row>
    <row r="53" spans="1:8" s="6" customFormat="1">
      <c r="A53" s="3"/>
      <c r="B53" s="21" t="s">
        <v>321</v>
      </c>
      <c r="C53" s="341">
        <f>C52-C101</f>
        <v>-513.93217999999797</v>
      </c>
      <c r="D53" s="341">
        <f>D52-D101</f>
        <v>-99.407489999999939</v>
      </c>
      <c r="E53" s="22"/>
      <c r="F53" s="22"/>
    </row>
    <row r="54" spans="1:8" ht="32.25" customHeight="1">
      <c r="A54" s="23"/>
      <c r="B54" s="24"/>
      <c r="C54" s="246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412</v>
      </c>
      <c r="D55" s="73" t="s">
        <v>419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423">
        <f>C58+C59+C60+C61+C62+C64+C63</f>
        <v>1256.1510000000001</v>
      </c>
      <c r="D57" s="33">
        <f>D58+D59+D60+D61+D62+D64+D63</f>
        <v>208.24357000000001</v>
      </c>
      <c r="E57" s="34">
        <f>SUM(D57/C57*100)</f>
        <v>16.577909025268458</v>
      </c>
      <c r="F57" s="34">
        <f>SUM(D57-C57)</f>
        <v>-1047.90743</v>
      </c>
    </row>
    <row r="58" spans="1:8" s="6" customFormat="1" ht="1.5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136">
        <v>1247.4000000000001</v>
      </c>
      <c r="D59" s="37">
        <v>204.49257</v>
      </c>
      <c r="E59" s="38">
        <f t="shared" ref="E59:E101" si="3">SUM(D59/C59*100)</f>
        <v>16.393504088504088</v>
      </c>
      <c r="F59" s="38">
        <f t="shared" ref="F59:F101" si="4">SUM(D59-C59)</f>
        <v>-1042.9074300000002</v>
      </c>
    </row>
    <row r="60" spans="1:8" ht="16.5" hidden="1" customHeight="1">
      <c r="A60" s="35" t="s">
        <v>36</v>
      </c>
      <c r="B60" s="39" t="s">
        <v>37</v>
      </c>
      <c r="C60" s="136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136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136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22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136">
        <v>3.7509999999999999</v>
      </c>
      <c r="D64" s="37">
        <v>3.7509999999999999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46</v>
      </c>
      <c r="B65" s="42" t="s">
        <v>47</v>
      </c>
      <c r="C65" s="423">
        <f>C66</f>
        <v>179.892</v>
      </c>
      <c r="D65" s="32">
        <f>D66</f>
        <v>33.378</v>
      </c>
      <c r="E65" s="34">
        <f t="shared" si="3"/>
        <v>18.554466012941099</v>
      </c>
      <c r="F65" s="34">
        <f t="shared" si="4"/>
        <v>-146.51400000000001</v>
      </c>
    </row>
    <row r="66" spans="1:7" ht="15" customHeight="1">
      <c r="A66" s="43" t="s">
        <v>48</v>
      </c>
      <c r="B66" s="44" t="s">
        <v>49</v>
      </c>
      <c r="C66" s="136">
        <v>179.892</v>
      </c>
      <c r="D66" s="37">
        <v>33.378</v>
      </c>
      <c r="E66" s="38">
        <f t="shared" si="3"/>
        <v>18.554466012941099</v>
      </c>
      <c r="F66" s="38">
        <f t="shared" si="4"/>
        <v>-146.51400000000001</v>
      </c>
    </row>
    <row r="67" spans="1:7" s="6" customFormat="1" ht="18" customHeight="1">
      <c r="A67" s="30" t="s">
        <v>50</v>
      </c>
      <c r="B67" s="31" t="s">
        <v>51</v>
      </c>
      <c r="C67" s="423">
        <f>C70+C71+C72</f>
        <v>6</v>
      </c>
      <c r="D67" s="32">
        <f>D70+D71+D72</f>
        <v>0</v>
      </c>
      <c r="E67" s="34">
        <f t="shared" si="3"/>
        <v>0</v>
      </c>
      <c r="F67" s="34">
        <f t="shared" si="4"/>
        <v>-6</v>
      </c>
    </row>
    <row r="68" spans="1:7" ht="0.75" hidden="1" customHeight="1">
      <c r="A68" s="35" t="s">
        <v>52</v>
      </c>
      <c r="B68" s="39" t="s">
        <v>53</v>
      </c>
      <c r="C68" s="136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136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13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136">
        <v>2</v>
      </c>
      <c r="D71" s="37">
        <v>0</v>
      </c>
      <c r="E71" s="38">
        <f t="shared" si="3"/>
        <v>0</v>
      </c>
      <c r="F71" s="38">
        <f t="shared" si="4"/>
        <v>-2</v>
      </c>
    </row>
    <row r="72" spans="1:7" ht="17.25" customHeight="1">
      <c r="A72" s="46" t="s">
        <v>358</v>
      </c>
      <c r="B72" s="47" t="s">
        <v>409</v>
      </c>
      <c r="C72" s="136">
        <v>2</v>
      </c>
      <c r="D72" s="37">
        <v>0</v>
      </c>
      <c r="E72" s="38">
        <f>SUM(D72/C72*100)</f>
        <v>0</v>
      </c>
      <c r="F72" s="38">
        <f>SUM(D72-C72)</f>
        <v>-2</v>
      </c>
    </row>
    <row r="73" spans="1:7" s="6" customFormat="1" ht="19.5" customHeight="1">
      <c r="A73" s="30" t="s">
        <v>58</v>
      </c>
      <c r="B73" s="31" t="s">
        <v>59</v>
      </c>
      <c r="C73" s="223">
        <f>C75+C76+C77+C74</f>
        <v>5933.4492899999996</v>
      </c>
      <c r="D73" s="48">
        <f>SUM(D74:D77)</f>
        <v>30</v>
      </c>
      <c r="E73" s="34">
        <f t="shared" si="3"/>
        <v>0.5056080962984012</v>
      </c>
      <c r="F73" s="34">
        <f t="shared" si="4"/>
        <v>-5903.4492899999996</v>
      </c>
    </row>
    <row r="74" spans="1:7" ht="17.25" customHeight="1">
      <c r="A74" s="35" t="s">
        <v>60</v>
      </c>
      <c r="B74" s="39" t="s">
        <v>61</v>
      </c>
      <c r="C74" s="413">
        <v>2.681</v>
      </c>
      <c r="D74" s="37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62</v>
      </c>
      <c r="B75" s="39" t="s">
        <v>63</v>
      </c>
      <c r="C75" s="413">
        <v>600</v>
      </c>
      <c r="D75" s="37">
        <v>0</v>
      </c>
      <c r="E75" s="38">
        <f t="shared" si="3"/>
        <v>0</v>
      </c>
      <c r="F75" s="38">
        <f t="shared" si="4"/>
        <v>-600</v>
      </c>
      <c r="G75" s="50"/>
    </row>
    <row r="76" spans="1:7" ht="16.5" customHeight="1">
      <c r="A76" s="35" t="s">
        <v>64</v>
      </c>
      <c r="B76" s="39" t="s">
        <v>65</v>
      </c>
      <c r="C76" s="413">
        <v>5250.76829</v>
      </c>
      <c r="D76" s="37">
        <v>30</v>
      </c>
      <c r="E76" s="38">
        <f t="shared" si="3"/>
        <v>0.57134496026294856</v>
      </c>
      <c r="F76" s="38">
        <f t="shared" si="4"/>
        <v>-5220.76829</v>
      </c>
    </row>
    <row r="77" spans="1:7" ht="16.5" customHeight="1">
      <c r="A77" s="35" t="s">
        <v>66</v>
      </c>
      <c r="B77" s="39" t="s">
        <v>67</v>
      </c>
      <c r="C77" s="413">
        <v>80</v>
      </c>
      <c r="D77" s="37">
        <v>0</v>
      </c>
      <c r="E77" s="38">
        <f t="shared" si="3"/>
        <v>0</v>
      </c>
      <c r="F77" s="38">
        <f t="shared" si="4"/>
        <v>-80</v>
      </c>
    </row>
    <row r="78" spans="1:7" ht="15.75" hidden="1" customHeight="1">
      <c r="A78" s="30" t="s">
        <v>50</v>
      </c>
      <c r="B78" s="31" t="s">
        <v>51</v>
      </c>
      <c r="C78" s="223">
        <v>0</v>
      </c>
      <c r="D78" s="37"/>
      <c r="E78" s="38"/>
      <c r="F78" s="38"/>
    </row>
    <row r="79" spans="1:7" ht="15.75" hidden="1" customHeight="1">
      <c r="A79" s="46" t="s">
        <v>219</v>
      </c>
      <c r="B79" s="47" t="s">
        <v>220</v>
      </c>
      <c r="C79" s="413">
        <v>0</v>
      </c>
      <c r="D79" s="37"/>
      <c r="E79" s="38"/>
      <c r="F79" s="38"/>
    </row>
    <row r="80" spans="1:7" s="6" customFormat="1" ht="19.5" customHeight="1">
      <c r="A80" s="30" t="s">
        <v>68</v>
      </c>
      <c r="B80" s="31" t="s">
        <v>69</v>
      </c>
      <c r="C80" s="423">
        <f>SUM(C81:C83)</f>
        <v>368.5686</v>
      </c>
      <c r="D80" s="32">
        <f>SUM(D81:D83)</f>
        <v>115.47093</v>
      </c>
      <c r="E80" s="34">
        <f t="shared" si="3"/>
        <v>31.329562529200807</v>
      </c>
      <c r="F80" s="34">
        <f t="shared" si="4"/>
        <v>-253.09766999999999</v>
      </c>
    </row>
    <row r="81" spans="1:6" hidden="1">
      <c r="A81" s="35" t="s">
        <v>70</v>
      </c>
      <c r="B81" s="51" t="s">
        <v>71</v>
      </c>
      <c r="C81" s="136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72</v>
      </c>
      <c r="B82" s="51" t="s">
        <v>73</v>
      </c>
      <c r="C82" s="136"/>
      <c r="D82" s="37"/>
      <c r="E82" s="38" t="e">
        <f t="shared" si="3"/>
        <v>#DIV/0!</v>
      </c>
      <c r="F82" s="38">
        <f t="shared" si="4"/>
        <v>0</v>
      </c>
    </row>
    <row r="83" spans="1:6" ht="12.75" customHeight="1">
      <c r="A83" s="35" t="s">
        <v>74</v>
      </c>
      <c r="B83" s="39" t="s">
        <v>75</v>
      </c>
      <c r="C83" s="136">
        <v>368.5686</v>
      </c>
      <c r="D83" s="37">
        <v>115.47093</v>
      </c>
      <c r="E83" s="38">
        <f t="shared" si="3"/>
        <v>31.329562529200807</v>
      </c>
      <c r="F83" s="38">
        <f t="shared" si="4"/>
        <v>-253.09766999999999</v>
      </c>
    </row>
    <row r="84" spans="1:6" s="6" customFormat="1" ht="11.25" customHeight="1">
      <c r="A84" s="30" t="s">
        <v>86</v>
      </c>
      <c r="B84" s="31" t="s">
        <v>87</v>
      </c>
      <c r="C84" s="423">
        <f>C85</f>
        <v>1847.1</v>
      </c>
      <c r="D84" s="32">
        <f>SUM(D85)</f>
        <v>493.44531999999998</v>
      </c>
      <c r="E84" s="34">
        <f t="shared" si="3"/>
        <v>26.714596935737099</v>
      </c>
      <c r="F84" s="34">
        <f t="shared" si="4"/>
        <v>-1353.6546799999999</v>
      </c>
    </row>
    <row r="85" spans="1:6" ht="14.25" customHeight="1">
      <c r="A85" s="35" t="s">
        <v>88</v>
      </c>
      <c r="B85" s="39" t="s">
        <v>234</v>
      </c>
      <c r="C85" s="136">
        <v>1847.1</v>
      </c>
      <c r="D85" s="37">
        <v>493.44531999999998</v>
      </c>
      <c r="E85" s="38">
        <f t="shared" si="3"/>
        <v>26.714596935737099</v>
      </c>
      <c r="F85" s="38">
        <f t="shared" si="4"/>
        <v>-1353.6546799999999</v>
      </c>
    </row>
    <row r="86" spans="1:6" s="6" customFormat="1" ht="12" customHeight="1">
      <c r="A86" s="52">
        <v>1000</v>
      </c>
      <c r="B86" s="31" t="s">
        <v>89</v>
      </c>
      <c r="C86" s="423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customHeight="1">
      <c r="A87" s="53">
        <v>1001</v>
      </c>
      <c r="B87" s="54" t="s">
        <v>90</v>
      </c>
      <c r="C87" s="136"/>
      <c r="D87" s="37"/>
      <c r="E87" s="38" t="e">
        <f t="shared" si="3"/>
        <v>#DIV/0!</v>
      </c>
      <c r="F87" s="38">
        <f t="shared" si="4"/>
        <v>0</v>
      </c>
    </row>
    <row r="88" spans="1:6" ht="12" customHeight="1">
      <c r="A88" s="53">
        <v>1003</v>
      </c>
      <c r="B88" s="54" t="s">
        <v>91</v>
      </c>
      <c r="C88" s="136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customHeight="1">
      <c r="A89" s="53">
        <v>1004</v>
      </c>
      <c r="B89" s="54" t="s">
        <v>92</v>
      </c>
      <c r="C89" s="136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customHeight="1">
      <c r="A90" s="35" t="s">
        <v>93</v>
      </c>
      <c r="B90" s="39" t="s">
        <v>94</v>
      </c>
      <c r="C90" s="136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423">
        <f>C92+C93+C94+C95+C96</f>
        <v>2</v>
      </c>
      <c r="D91" s="32">
        <f>D92+D93+D94+D95+D96</f>
        <v>0</v>
      </c>
      <c r="E91" s="38">
        <f t="shared" si="3"/>
        <v>0</v>
      </c>
      <c r="F91" s="22">
        <f>F92+F93+F94+F95+F96</f>
        <v>-2</v>
      </c>
    </row>
    <row r="92" spans="1:6" ht="19.5" customHeight="1">
      <c r="A92" s="35" t="s">
        <v>97</v>
      </c>
      <c r="B92" s="39" t="s">
        <v>98</v>
      </c>
      <c r="C92" s="136">
        <v>2</v>
      </c>
      <c r="D92" s="37">
        <v>0</v>
      </c>
      <c r="E92" s="38">
        <f t="shared" si="3"/>
        <v>0</v>
      </c>
      <c r="F92" s="38">
        <f>SUM(D92-C92)</f>
        <v>-2</v>
      </c>
    </row>
    <row r="93" spans="1:6" ht="15" hidden="1" customHeight="1">
      <c r="A93" s="35" t="s">
        <v>99</v>
      </c>
      <c r="B93" s="39" t="s">
        <v>100</v>
      </c>
      <c r="C93" s="136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6"/>
      <c r="D94" s="37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6"/>
      <c r="D95" s="37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136"/>
      <c r="D96" s="239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115</v>
      </c>
      <c r="C97" s="223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customHeight="1">
      <c r="A98" s="53">
        <v>1401</v>
      </c>
      <c r="B98" s="54" t="s">
        <v>116</v>
      </c>
      <c r="C98" s="13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customHeight="1">
      <c r="A99" s="53">
        <v>1402</v>
      </c>
      <c r="B99" s="54" t="s">
        <v>117</v>
      </c>
      <c r="C99" s="413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customHeight="1">
      <c r="A100" s="53">
        <v>1403</v>
      </c>
      <c r="B100" s="54" t="s">
        <v>118</v>
      </c>
      <c r="C100" s="413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119</v>
      </c>
      <c r="C101" s="391">
        <f>C57+C65+C67+C73+C80+C84+C86+C91+C78</f>
        <v>9593.1608899999992</v>
      </c>
      <c r="D101" s="391">
        <f>D57+D65+D67+D73+D80+D84+D91+D86</f>
        <v>880.53782000000001</v>
      </c>
      <c r="E101" s="34">
        <f t="shared" si="3"/>
        <v>9.1788080080871044</v>
      </c>
      <c r="F101" s="34">
        <f t="shared" si="4"/>
        <v>-8712.6230699999996</v>
      </c>
    </row>
    <row r="102" spans="1:6" ht="5.25" customHeight="1">
      <c r="C102" s="120"/>
      <c r="D102" s="61"/>
    </row>
    <row r="103" spans="1:6" s="65" customFormat="1" ht="12.75">
      <c r="A103" s="63" t="s">
        <v>120</v>
      </c>
      <c r="B103" s="63"/>
      <c r="C103" s="116"/>
      <c r="D103" s="64"/>
    </row>
    <row r="104" spans="1:6" s="65" customFormat="1" ht="12.75">
      <c r="A104" s="66" t="s">
        <v>121</v>
      </c>
      <c r="B104" s="66"/>
      <c r="C104" s="65" t="s">
        <v>122</v>
      </c>
    </row>
    <row r="105" spans="1:6">
      <c r="C105" s="120"/>
    </row>
  </sheetData>
  <customSheetViews>
    <customSheetView guid="{35821C05-60FE-4C33-8558-8CF10812F6FC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1"/>
    </customSheetView>
    <customSheetView guid="{B31C8DB7-3E78-4144-A6B5-8DE36DE63F0E}" scale="89" showPageBreaks="1" printArea="1" hiddenRows="1" view="pageBreakPreview">
      <selection activeCell="C12" sqref="C12"/>
      <pageMargins left="0.7" right="0.7" top="0.75" bottom="0.75" header="0.3" footer="0.3"/>
      <pageSetup paperSize="9" scale="47" orientation="portrait" r:id="rId2"/>
    </customSheetView>
    <customSheetView guid="{61528DAC-5C4C-48F4-ADE2-8A724B05A086}" scale="70" showPageBreaks="1" fitToPage="1" printArea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56" orientation="portrait" r:id="rId3"/>
    </customSheetView>
    <customSheetView guid="{B30CE22D-C12F-4E12-8BB9-3AAE0A6991CC}" scale="70" showPageBreaks="1" printArea="1" hiddenRows="1" view="pageBreakPreview">
      <selection activeCell="D15" sqref="D1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6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7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9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2"/>
  <sheetViews>
    <sheetView topLeftCell="A48" zoomScaleNormal="100" zoomScaleSheetLayoutView="70" workbookViewId="0">
      <selection activeCell="C96" sqref="C9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2" t="s">
        <v>430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79">
        <f>C5+C12+C14+C17+C20+C7</f>
        <v>4380.491</v>
      </c>
      <c r="D4" s="279">
        <f>D5+D12+D14+D17+D20+D7</f>
        <v>567.55970000000002</v>
      </c>
      <c r="E4" s="5">
        <f>SUM(D4/C4*100)</f>
        <v>12.95653158515792</v>
      </c>
      <c r="F4" s="5">
        <f>SUM(D4-C4)</f>
        <v>-3812.9313000000002</v>
      </c>
    </row>
    <row r="5" spans="1:6" s="6" customFormat="1">
      <c r="A5" s="68">
        <v>1010000000</v>
      </c>
      <c r="B5" s="67" t="s">
        <v>6</v>
      </c>
      <c r="C5" s="279">
        <f>C6</f>
        <v>452.03100000000001</v>
      </c>
      <c r="D5" s="279">
        <f>D6</f>
        <v>90.983590000000007</v>
      </c>
      <c r="E5" s="5">
        <f t="shared" ref="E5:E50" si="0">SUM(D5/C5*100)</f>
        <v>20.127732390035195</v>
      </c>
      <c r="F5" s="5">
        <f t="shared" ref="F5:F50" si="1">SUM(D5-C5)</f>
        <v>-361.04741000000001</v>
      </c>
    </row>
    <row r="6" spans="1:6">
      <c r="A6" s="7">
        <v>1010200001</v>
      </c>
      <c r="B6" s="8" t="s">
        <v>229</v>
      </c>
      <c r="C6" s="327">
        <v>452.03100000000001</v>
      </c>
      <c r="D6" s="328">
        <v>90.983590000000007</v>
      </c>
      <c r="E6" s="9">
        <f t="shared" ref="E6:E11" si="2">SUM(D6/C6*100)</f>
        <v>20.127732390035195</v>
      </c>
      <c r="F6" s="9">
        <f t="shared" si="1"/>
        <v>-361.04741000000001</v>
      </c>
    </row>
    <row r="7" spans="1:6" ht="31.5">
      <c r="A7" s="3">
        <v>1030000000</v>
      </c>
      <c r="B7" s="13" t="s">
        <v>281</v>
      </c>
      <c r="C7" s="457">
        <f>C8+C10+C9</f>
        <v>715.46</v>
      </c>
      <c r="D7" s="279">
        <f>D8+D10+D9+D11</f>
        <v>209.96226999999999</v>
      </c>
      <c r="E7" s="5">
        <f t="shared" si="2"/>
        <v>29.346472199703683</v>
      </c>
      <c r="F7" s="5">
        <f t="shared" si="1"/>
        <v>-505.49773000000005</v>
      </c>
    </row>
    <row r="8" spans="1:6">
      <c r="A8" s="7">
        <v>1030223001</v>
      </c>
      <c r="B8" s="8" t="s">
        <v>283</v>
      </c>
      <c r="C8" s="327">
        <v>266.87</v>
      </c>
      <c r="D8" s="328">
        <v>92.234920000000002</v>
      </c>
      <c r="E8" s="9">
        <f t="shared" si="2"/>
        <v>34.56174167197512</v>
      </c>
      <c r="F8" s="9">
        <f t="shared" si="1"/>
        <v>-174.63508000000002</v>
      </c>
    </row>
    <row r="9" spans="1:6">
      <c r="A9" s="7">
        <v>1030224001</v>
      </c>
      <c r="B9" s="8" t="s">
        <v>289</v>
      </c>
      <c r="C9" s="327">
        <v>2.86</v>
      </c>
      <c r="D9" s="328">
        <v>0.64444999999999997</v>
      </c>
      <c r="E9" s="9">
        <f t="shared" si="2"/>
        <v>22.533216783216783</v>
      </c>
      <c r="F9" s="9">
        <f t="shared" si="1"/>
        <v>-2.2155499999999999</v>
      </c>
    </row>
    <row r="10" spans="1:6">
      <c r="A10" s="7">
        <v>1030225001</v>
      </c>
      <c r="B10" s="8" t="s">
        <v>282</v>
      </c>
      <c r="C10" s="327">
        <v>445.73</v>
      </c>
      <c r="D10" s="328">
        <v>135.23543000000001</v>
      </c>
      <c r="E10" s="9">
        <f t="shared" si="2"/>
        <v>30.340212684809192</v>
      </c>
      <c r="F10" s="9">
        <f t="shared" si="1"/>
        <v>-310.49457000000001</v>
      </c>
    </row>
    <row r="11" spans="1:6">
      <c r="A11" s="7">
        <v>1030226001</v>
      </c>
      <c r="B11" s="8" t="s">
        <v>290</v>
      </c>
      <c r="C11" s="327">
        <v>0</v>
      </c>
      <c r="D11" s="326">
        <v>-18.152529999999999</v>
      </c>
      <c r="E11" s="9" t="e">
        <f t="shared" si="2"/>
        <v>#DIV/0!</v>
      </c>
      <c r="F11" s="9">
        <f t="shared" si="1"/>
        <v>-18.152529999999999</v>
      </c>
    </row>
    <row r="12" spans="1:6" s="6" customFormat="1">
      <c r="A12" s="68">
        <v>1050000000</v>
      </c>
      <c r="B12" s="67" t="s">
        <v>7</v>
      </c>
      <c r="C12" s="279">
        <f>SUM(C13:C13)</f>
        <v>50</v>
      </c>
      <c r="D12" s="279">
        <f>D13</f>
        <v>21.569400000000002</v>
      </c>
      <c r="E12" s="5">
        <f t="shared" si="0"/>
        <v>43.138800000000003</v>
      </c>
      <c r="F12" s="5">
        <f t="shared" si="1"/>
        <v>-28.430599999999998</v>
      </c>
    </row>
    <row r="13" spans="1:6" ht="15.75" customHeight="1">
      <c r="A13" s="7">
        <v>1050300000</v>
      </c>
      <c r="B13" s="11" t="s">
        <v>230</v>
      </c>
      <c r="C13" s="329">
        <v>50</v>
      </c>
      <c r="D13" s="328">
        <v>21.569400000000002</v>
      </c>
      <c r="E13" s="9">
        <f t="shared" si="0"/>
        <v>43.138800000000003</v>
      </c>
      <c r="F13" s="9">
        <f t="shared" si="1"/>
        <v>-28.430599999999998</v>
      </c>
    </row>
    <row r="14" spans="1:6" s="6" customFormat="1" ht="15.75" customHeight="1">
      <c r="A14" s="68">
        <v>1060000000</v>
      </c>
      <c r="B14" s="67" t="s">
        <v>136</v>
      </c>
      <c r="C14" s="279">
        <f>C15+C16</f>
        <v>3138</v>
      </c>
      <c r="D14" s="279">
        <f>D15+D16</f>
        <v>238.24444</v>
      </c>
      <c r="E14" s="5">
        <f t="shared" si="0"/>
        <v>7.5922383683875081</v>
      </c>
      <c r="F14" s="5">
        <f t="shared" si="1"/>
        <v>-2899.7555600000001</v>
      </c>
    </row>
    <row r="15" spans="1:6" s="6" customFormat="1" ht="15.75" customHeight="1">
      <c r="A15" s="7">
        <v>1060100000</v>
      </c>
      <c r="B15" s="11" t="s">
        <v>9</v>
      </c>
      <c r="C15" s="327">
        <v>338</v>
      </c>
      <c r="D15" s="328">
        <v>29.144449999999999</v>
      </c>
      <c r="E15" s="9">
        <f t="shared" si="0"/>
        <v>8.622618343195267</v>
      </c>
      <c r="F15" s="9">
        <f>SUM(D15-C15)</f>
        <v>-308.85554999999999</v>
      </c>
    </row>
    <row r="16" spans="1:6" ht="15.75" customHeight="1">
      <c r="A16" s="7">
        <v>1060600000</v>
      </c>
      <c r="B16" s="11" t="s">
        <v>8</v>
      </c>
      <c r="C16" s="327">
        <v>2800</v>
      </c>
      <c r="D16" s="328">
        <v>209.09998999999999</v>
      </c>
      <c r="E16" s="9">
        <f t="shared" si="0"/>
        <v>7.4678567857142859</v>
      </c>
      <c r="F16" s="9">
        <f t="shared" si="1"/>
        <v>-2590.9000099999998</v>
      </c>
    </row>
    <row r="17" spans="1:6" s="6" customFormat="1">
      <c r="A17" s="3">
        <v>1080000000</v>
      </c>
      <c r="B17" s="4" t="s">
        <v>11</v>
      </c>
      <c r="C17" s="279">
        <f>C18</f>
        <v>25</v>
      </c>
      <c r="D17" s="279">
        <f>D18</f>
        <v>6.8</v>
      </c>
      <c r="E17" s="5">
        <f t="shared" si="0"/>
        <v>27.200000000000003</v>
      </c>
      <c r="F17" s="5">
        <f t="shared" si="1"/>
        <v>-18.2</v>
      </c>
    </row>
    <row r="18" spans="1:6" ht="18" customHeight="1">
      <c r="A18" s="7">
        <v>1080400001</v>
      </c>
      <c r="B18" s="8" t="s">
        <v>228</v>
      </c>
      <c r="C18" s="327">
        <v>25</v>
      </c>
      <c r="D18" s="328">
        <v>6.8</v>
      </c>
      <c r="E18" s="9">
        <f t="shared" si="0"/>
        <v>27.200000000000003</v>
      </c>
      <c r="F18" s="9">
        <f t="shared" si="1"/>
        <v>-18.2</v>
      </c>
    </row>
    <row r="19" spans="1:6" ht="47.25" hidden="1" customHeight="1">
      <c r="A19" s="7">
        <v>1080714001</v>
      </c>
      <c r="B19" s="8" t="s">
        <v>12</v>
      </c>
      <c r="C19" s="327"/>
      <c r="D19" s="328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79">
        <f>C21+C22+C23+C24</f>
        <v>0</v>
      </c>
      <c r="D20" s="279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279"/>
      <c r="D21" s="330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79"/>
      <c r="D22" s="330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79"/>
      <c r="D23" s="330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79"/>
      <c r="D24" s="330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79">
        <f>C26+C29+C31+C36</f>
        <v>40</v>
      </c>
      <c r="D25" s="93">
        <f>D26+D29+D31+D36+D34</f>
        <v>60.912309999999998</v>
      </c>
      <c r="E25" s="5">
        <f t="shared" si="0"/>
        <v>152.28077499999998</v>
      </c>
      <c r="F25" s="5">
        <f t="shared" si="1"/>
        <v>20.912309999999998</v>
      </c>
    </row>
    <row r="26" spans="1:6" s="6" customFormat="1" ht="30" customHeight="1">
      <c r="A26" s="68">
        <v>1110000000</v>
      </c>
      <c r="B26" s="69" t="s">
        <v>129</v>
      </c>
      <c r="C26" s="279">
        <f>C27+C28</f>
        <v>40</v>
      </c>
      <c r="D26" s="93">
        <f>D27+D28</f>
        <v>47.358379999999997</v>
      </c>
      <c r="E26" s="5">
        <f t="shared" si="0"/>
        <v>118.39594999999998</v>
      </c>
      <c r="F26" s="5">
        <f t="shared" si="1"/>
        <v>7.3583799999999968</v>
      </c>
    </row>
    <row r="27" spans="1:6" ht="15" customHeight="1">
      <c r="A27" s="16">
        <v>1110502510</v>
      </c>
      <c r="B27" s="17" t="s">
        <v>226</v>
      </c>
      <c r="C27" s="329">
        <v>40</v>
      </c>
      <c r="D27" s="326">
        <v>47.358379999999997</v>
      </c>
      <c r="E27" s="9">
        <f t="shared" si="0"/>
        <v>118.39594999999998</v>
      </c>
      <c r="F27" s="9">
        <f t="shared" si="1"/>
        <v>7.3583799999999968</v>
      </c>
    </row>
    <row r="28" spans="1:6" ht="15.75" customHeight="1">
      <c r="A28" s="7">
        <v>1110503505</v>
      </c>
      <c r="B28" s="11" t="s">
        <v>225</v>
      </c>
      <c r="C28" s="329">
        <v>0</v>
      </c>
      <c r="D28" s="328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279">
        <f>C30</f>
        <v>0</v>
      </c>
      <c r="D29" s="279">
        <f>D30</f>
        <v>13.553929999999999</v>
      </c>
      <c r="E29" s="5" t="e">
        <f t="shared" si="0"/>
        <v>#DIV/0!</v>
      </c>
      <c r="F29" s="5">
        <f t="shared" si="1"/>
        <v>13.553929999999999</v>
      </c>
    </row>
    <row r="30" spans="1:6" ht="17.25" customHeight="1">
      <c r="A30" s="7">
        <v>1130206005</v>
      </c>
      <c r="B30" s="8" t="s">
        <v>224</v>
      </c>
      <c r="C30" s="327">
        <v>0</v>
      </c>
      <c r="D30" s="328">
        <v>13.553929999999999</v>
      </c>
      <c r="E30" s="9" t="e">
        <f t="shared" si="0"/>
        <v>#DIV/0!</v>
      </c>
      <c r="F30" s="9">
        <f t="shared" si="1"/>
        <v>13.553929999999999</v>
      </c>
    </row>
    <row r="31" spans="1:6" ht="28.5">
      <c r="A31" s="70">
        <v>1140000000</v>
      </c>
      <c r="B31" s="71" t="s">
        <v>132</v>
      </c>
      <c r="C31" s="279">
        <f>C32+C33</f>
        <v>0</v>
      </c>
      <c r="D31" s="279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327">
        <v>0</v>
      </c>
      <c r="D32" s="328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327">
        <v>0</v>
      </c>
      <c r="D33" s="328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79">
        <f>C35</f>
        <v>0</v>
      </c>
      <c r="D34" s="279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27">
        <v>0</v>
      </c>
      <c r="D35" s="328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79">
        <f>C37+C38</f>
        <v>0</v>
      </c>
      <c r="D36" s="93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18</v>
      </c>
      <c r="C37" s="327">
        <f>C38</f>
        <v>0</v>
      </c>
      <c r="D37" s="337">
        <v>0</v>
      </c>
      <c r="E37" s="9" t="e">
        <f t="shared" si="0"/>
        <v>#DIV/0!</v>
      </c>
      <c r="F37" s="9">
        <f t="shared" si="1"/>
        <v>0</v>
      </c>
    </row>
    <row r="38" spans="1:7" ht="17.25" customHeight="1">
      <c r="A38" s="7">
        <v>1170505005</v>
      </c>
      <c r="B38" s="11" t="s">
        <v>221</v>
      </c>
      <c r="C38" s="327">
        <v>0</v>
      </c>
      <c r="D38" s="328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1">
        <f>SUM(C4,C25)</f>
        <v>4420.491</v>
      </c>
      <c r="D39" s="331">
        <f>D4+D25</f>
        <v>628.47201000000007</v>
      </c>
      <c r="E39" s="5">
        <f t="shared" si="0"/>
        <v>14.217244419228544</v>
      </c>
      <c r="F39" s="5">
        <f t="shared" si="1"/>
        <v>-3792.01899</v>
      </c>
    </row>
    <row r="40" spans="1:7" s="6" customFormat="1">
      <c r="A40" s="3">
        <v>2000000000</v>
      </c>
      <c r="B40" s="4" t="s">
        <v>20</v>
      </c>
      <c r="C40" s="392">
        <f>C41+C43+C45+C46+C47+C48+C42+C44</f>
        <v>4258.9895800000004</v>
      </c>
      <c r="D40" s="279">
        <f>D41+D43+D45+D46+D47+D48+D42</f>
        <v>582.947</v>
      </c>
      <c r="E40" s="5">
        <f t="shared" si="0"/>
        <v>13.687448373611657</v>
      </c>
      <c r="F40" s="5">
        <f t="shared" si="1"/>
        <v>-3676.0425800000003</v>
      </c>
      <c r="G40" s="19"/>
    </row>
    <row r="41" spans="1:7">
      <c r="A41" s="16">
        <v>2021000000</v>
      </c>
      <c r="B41" s="17" t="s">
        <v>21</v>
      </c>
      <c r="C41" s="332">
        <v>1101.0999999999999</v>
      </c>
      <c r="D41" s="333">
        <v>275.274</v>
      </c>
      <c r="E41" s="9">
        <f t="shared" si="0"/>
        <v>24.999909181727364</v>
      </c>
      <c r="F41" s="9">
        <f t="shared" si="1"/>
        <v>-825.82599999999991</v>
      </c>
    </row>
    <row r="42" spans="1:7" ht="17.25" customHeight="1">
      <c r="A42" s="16">
        <v>2021500200</v>
      </c>
      <c r="B42" s="17" t="s">
        <v>232</v>
      </c>
      <c r="C42" s="332">
        <v>0</v>
      </c>
      <c r="D42" s="333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2">
        <v>2973.0091900000002</v>
      </c>
      <c r="D43" s="328">
        <v>263.17399999999998</v>
      </c>
      <c r="E43" s="9">
        <f t="shared" si="0"/>
        <v>8.852108526445555</v>
      </c>
      <c r="F43" s="9">
        <f t="shared" si="1"/>
        <v>-2709.8351900000002</v>
      </c>
    </row>
    <row r="44" spans="1:7" ht="0.75" hidden="1" customHeight="1">
      <c r="A44" s="16">
        <v>2022999910</v>
      </c>
      <c r="B44" s="18" t="s">
        <v>350</v>
      </c>
      <c r="C44" s="332">
        <v>0</v>
      </c>
      <c r="D44" s="328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29">
        <v>182.38900000000001</v>
      </c>
      <c r="D45" s="334">
        <v>44.499000000000002</v>
      </c>
      <c r="E45" s="9">
        <f t="shared" si="0"/>
        <v>24.397852940692697</v>
      </c>
      <c r="F45" s="9">
        <f t="shared" si="1"/>
        <v>-137.89000000000001</v>
      </c>
    </row>
    <row r="46" spans="1:7" ht="12.75" customHeight="1">
      <c r="A46" s="16">
        <v>2020400000</v>
      </c>
      <c r="B46" s="17" t="s">
        <v>24</v>
      </c>
      <c r="C46" s="329"/>
      <c r="D46" s="335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357</v>
      </c>
      <c r="C47" s="329">
        <v>2.49139</v>
      </c>
      <c r="D47" s="335">
        <v>0</v>
      </c>
      <c r="E47" s="9">
        <f t="shared" si="0"/>
        <v>0</v>
      </c>
      <c r="F47" s="9">
        <f t="shared" si="1"/>
        <v>-2.49139</v>
      </c>
    </row>
    <row r="48" spans="1:7" ht="21" customHeight="1">
      <c r="A48" s="7">
        <v>2190500005</v>
      </c>
      <c r="B48" s="11" t="s">
        <v>26</v>
      </c>
      <c r="C48" s="330"/>
      <c r="D48" s="330"/>
      <c r="E48" s="5"/>
      <c r="F48" s="5">
        <f>SUM(D48-C48)</f>
        <v>0</v>
      </c>
    </row>
    <row r="49" spans="1:8" s="6" customFormat="1" ht="17.25" customHeight="1">
      <c r="A49" s="3">
        <v>3000000000</v>
      </c>
      <c r="B49" s="13" t="s">
        <v>27</v>
      </c>
      <c r="C49" s="336">
        <v>0</v>
      </c>
      <c r="D49" s="330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75">
        <f>C39+C40</f>
        <v>8679.4805799999995</v>
      </c>
      <c r="D50" s="372">
        <f>D39+D40</f>
        <v>1211.4190100000001</v>
      </c>
      <c r="E50" s="279">
        <f t="shared" si="0"/>
        <v>13.957275424884932</v>
      </c>
      <c r="F50" s="93">
        <f t="shared" si="1"/>
        <v>-7468.0615699999998</v>
      </c>
      <c r="G50" s="151"/>
      <c r="H50" s="292"/>
    </row>
    <row r="51" spans="1:8" s="6" customFormat="1">
      <c r="A51" s="3"/>
      <c r="B51" s="21" t="s">
        <v>321</v>
      </c>
      <c r="C51" s="93">
        <f>C50-C97</f>
        <v>-906.38555000000088</v>
      </c>
      <c r="D51" s="93">
        <f>D50-D97</f>
        <v>-549.75324000000001</v>
      </c>
      <c r="E51" s="32"/>
      <c r="F51" s="32"/>
    </row>
    <row r="52" spans="1:8">
      <c r="A52" s="23"/>
      <c r="B52" s="24"/>
      <c r="C52" s="324"/>
      <c r="D52" s="324"/>
      <c r="E52" s="26"/>
      <c r="F52" s="27"/>
    </row>
    <row r="53" spans="1:8" ht="45.75" customHeight="1">
      <c r="A53" s="28" t="s">
        <v>1</v>
      </c>
      <c r="B53" s="28" t="s">
        <v>29</v>
      </c>
      <c r="C53" s="242" t="s">
        <v>412</v>
      </c>
      <c r="D53" s="243" t="s">
        <v>419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1642.1209999999999</v>
      </c>
      <c r="D55" s="32">
        <f>D56+D57+D58+D59+D60+D62+D61</f>
        <v>325.39657</v>
      </c>
      <c r="E55" s="34">
        <f>SUM(D55/C55*100)</f>
        <v>19.815626863063077</v>
      </c>
      <c r="F55" s="34">
        <f>SUM(D55-C55)</f>
        <v>-1316.7244299999998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1582.0709999999999</v>
      </c>
      <c r="D57" s="37">
        <v>270.34656999999999</v>
      </c>
      <c r="E57" s="38">
        <f t="shared" ref="E57:E69" si="3">SUM(D57/C57*100)</f>
        <v>17.088143958140943</v>
      </c>
      <c r="F57" s="38">
        <f t="shared" ref="F57:F69" si="4">SUM(D57-C57)</f>
        <v>-1311.72443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55.05</v>
      </c>
      <c r="D62" s="37">
        <v>55.05</v>
      </c>
      <c r="E62" s="38">
        <f t="shared" si="3"/>
        <v>100</v>
      </c>
      <c r="F62" s="38">
        <f t="shared" si="4"/>
        <v>0</v>
      </c>
    </row>
    <row r="63" spans="1:8" s="6" customFormat="1">
      <c r="A63" s="41" t="s">
        <v>46</v>
      </c>
      <c r="B63" s="42" t="s">
        <v>47</v>
      </c>
      <c r="C63" s="32">
        <f>C64</f>
        <v>179.892</v>
      </c>
      <c r="D63" s="32">
        <f>D64</f>
        <v>33.37312</v>
      </c>
      <c r="E63" s="34">
        <f t="shared" si="3"/>
        <v>18.551753274186737</v>
      </c>
      <c r="F63" s="34">
        <f t="shared" si="4"/>
        <v>-146.51888</v>
      </c>
    </row>
    <row r="64" spans="1:8">
      <c r="A64" s="43" t="s">
        <v>48</v>
      </c>
      <c r="B64" s="44" t="s">
        <v>49</v>
      </c>
      <c r="C64" s="37">
        <v>179.892</v>
      </c>
      <c r="D64" s="37">
        <v>33.37312</v>
      </c>
      <c r="E64" s="38">
        <f t="shared" si="3"/>
        <v>18.551753274186737</v>
      </c>
      <c r="F64" s="38">
        <f t="shared" si="4"/>
        <v>-146.51888</v>
      </c>
    </row>
    <row r="65" spans="1:7" s="6" customFormat="1" ht="15.75" customHeight="1">
      <c r="A65" s="30" t="s">
        <v>50</v>
      </c>
      <c r="B65" s="31" t="s">
        <v>51</v>
      </c>
      <c r="C65" s="32">
        <f>C68+C69+C70</f>
        <v>6</v>
      </c>
      <c r="D65" s="32">
        <f>D68+D69</f>
        <v>0.6</v>
      </c>
      <c r="E65" s="34">
        <f t="shared" si="3"/>
        <v>10</v>
      </c>
      <c r="F65" s="34">
        <f t="shared" si="4"/>
        <v>-5.4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1.6</v>
      </c>
      <c r="D68" s="37">
        <v>0</v>
      </c>
      <c r="E68" s="34">
        <f t="shared" si="3"/>
        <v>0</v>
      </c>
      <c r="F68" s="34">
        <f t="shared" si="4"/>
        <v>-1.6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0.6</v>
      </c>
      <c r="E69" s="38">
        <f t="shared" si="3"/>
        <v>25</v>
      </c>
      <c r="F69" s="38">
        <f t="shared" si="4"/>
        <v>-1.7999999999999998</v>
      </c>
    </row>
    <row r="70" spans="1:7" s="6" customFormat="1" ht="15.75" customHeight="1">
      <c r="A70" s="46" t="s">
        <v>358</v>
      </c>
      <c r="B70" s="47" t="s">
        <v>414</v>
      </c>
      <c r="C70" s="37">
        <v>2</v>
      </c>
      <c r="D70" s="37"/>
      <c r="E70" s="38"/>
      <c r="F70" s="38"/>
    </row>
    <row r="71" spans="1:7">
      <c r="A71" s="30" t="s">
        <v>58</v>
      </c>
      <c r="B71" s="31" t="s">
        <v>59</v>
      </c>
      <c r="C71" s="48">
        <f>SUM(C72:C75)</f>
        <v>4631.5961299999999</v>
      </c>
      <c r="D71" s="48">
        <f>SUM(D72:D75)</f>
        <v>550.04903000000002</v>
      </c>
      <c r="E71" s="34">
        <f t="shared" ref="E71:E86" si="5">SUM(D71/C71*100)</f>
        <v>11.876014543608319</v>
      </c>
      <c r="F71" s="34">
        <f t="shared" ref="F71:F86" si="6">SUM(D71-C71)</f>
        <v>-4081.5470999999998</v>
      </c>
    </row>
    <row r="72" spans="1:7" s="6" customFormat="1" ht="17.25" customHeight="1">
      <c r="A72" s="35" t="s">
        <v>60</v>
      </c>
      <c r="B72" s="39" t="s">
        <v>61</v>
      </c>
      <c r="C72" s="49">
        <v>6.7024999999999997</v>
      </c>
      <c r="D72" s="37">
        <v>0</v>
      </c>
      <c r="E72" s="38">
        <f t="shared" si="5"/>
        <v>0</v>
      </c>
      <c r="F72" s="38">
        <f t="shared" si="6"/>
        <v>-6.7024999999999997</v>
      </c>
      <c r="G72" s="50"/>
    </row>
    <row r="73" spans="1:7">
      <c r="A73" s="35" t="s">
        <v>62</v>
      </c>
      <c r="B73" s="39" t="s">
        <v>63</v>
      </c>
      <c r="C73" s="49">
        <v>430</v>
      </c>
      <c r="D73" s="37">
        <v>235.98462000000001</v>
      </c>
      <c r="E73" s="38">
        <f t="shared" si="5"/>
        <v>54.880144186046508</v>
      </c>
      <c r="F73" s="38">
        <f t="shared" si="6"/>
        <v>-194.01537999999999</v>
      </c>
    </row>
    <row r="74" spans="1:7">
      <c r="A74" s="35" t="s">
        <v>64</v>
      </c>
      <c r="B74" s="39" t="s">
        <v>65</v>
      </c>
      <c r="C74" s="49">
        <v>4084.89363</v>
      </c>
      <c r="D74" s="37">
        <v>312.46440999999999</v>
      </c>
      <c r="E74" s="38">
        <f t="shared" si="5"/>
        <v>7.6492667447989326</v>
      </c>
      <c r="F74" s="38">
        <f t="shared" si="6"/>
        <v>-3772.42922</v>
      </c>
    </row>
    <row r="75" spans="1:7" s="6" customFormat="1">
      <c r="A75" s="35" t="s">
        <v>66</v>
      </c>
      <c r="B75" s="39" t="s">
        <v>67</v>
      </c>
      <c r="C75" s="49">
        <v>110</v>
      </c>
      <c r="D75" s="37">
        <v>1.6</v>
      </c>
      <c r="E75" s="38">
        <f t="shared" si="5"/>
        <v>1.4545454545454546</v>
      </c>
      <c r="F75" s="38">
        <f t="shared" si="6"/>
        <v>-108.4</v>
      </c>
    </row>
    <row r="76" spans="1:7" ht="17.25" customHeight="1">
      <c r="A76" s="30" t="s">
        <v>68</v>
      </c>
      <c r="B76" s="31" t="s">
        <v>69</v>
      </c>
      <c r="C76" s="32">
        <f>SUM(C77:C79)</f>
        <v>833.45699999999999</v>
      </c>
      <c r="D76" s="32">
        <f>SUM(D77:D79)</f>
        <v>284.75353000000001</v>
      </c>
      <c r="E76" s="34">
        <f t="shared" si="5"/>
        <v>34.16535346154631</v>
      </c>
      <c r="F76" s="34">
        <f t="shared" si="6"/>
        <v>-548.70346999999992</v>
      </c>
    </row>
    <row r="77" spans="1:7" ht="0.7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74</v>
      </c>
      <c r="B79" s="39" t="s">
        <v>75</v>
      </c>
      <c r="C79" s="37">
        <v>833.45699999999999</v>
      </c>
      <c r="D79" s="37">
        <v>284.75353000000001</v>
      </c>
      <c r="E79" s="38">
        <f t="shared" si="5"/>
        <v>34.16535346154631</v>
      </c>
      <c r="F79" s="38">
        <f t="shared" si="6"/>
        <v>-548.70346999999992</v>
      </c>
    </row>
    <row r="80" spans="1:7">
      <c r="A80" s="30" t="s">
        <v>86</v>
      </c>
      <c r="B80" s="31" t="s">
        <v>87</v>
      </c>
      <c r="C80" s="32">
        <f>C81</f>
        <v>2291.8000000000002</v>
      </c>
      <c r="D80" s="32">
        <f>D81</f>
        <v>567</v>
      </c>
      <c r="E80" s="34">
        <f t="shared" si="5"/>
        <v>24.740378741600484</v>
      </c>
      <c r="F80" s="34">
        <f t="shared" si="6"/>
        <v>-1724.8000000000002</v>
      </c>
    </row>
    <row r="81" spans="1:6" s="6" customFormat="1" ht="15" customHeight="1">
      <c r="A81" s="35" t="s">
        <v>88</v>
      </c>
      <c r="B81" s="39" t="s">
        <v>234</v>
      </c>
      <c r="C81" s="37">
        <v>2291.8000000000002</v>
      </c>
      <c r="D81" s="37">
        <v>567</v>
      </c>
      <c r="E81" s="38">
        <f t="shared" si="5"/>
        <v>24.740378741600484</v>
      </c>
      <c r="F81" s="38">
        <f t="shared" si="6"/>
        <v>-1724.8000000000002</v>
      </c>
    </row>
    <row r="82" spans="1:6" ht="20.25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90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92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customHeight="1">
      <c r="A86" s="35" t="s">
        <v>93</v>
      </c>
      <c r="B86" s="39" t="s">
        <v>94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95</v>
      </c>
      <c r="B87" s="31" t="s">
        <v>96</v>
      </c>
      <c r="C87" s="32">
        <f>C88+C89+C90+C91+C92</f>
        <v>1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</v>
      </c>
    </row>
    <row r="88" spans="1:6" ht="15.75" customHeight="1">
      <c r="A88" s="35" t="s">
        <v>97</v>
      </c>
      <c r="B88" s="39" t="s">
        <v>98</v>
      </c>
      <c r="C88" s="37">
        <v>1</v>
      </c>
      <c r="D88" s="37">
        <v>0</v>
      </c>
      <c r="E88" s="38">
        <f t="shared" si="7"/>
        <v>0</v>
      </c>
      <c r="F88" s="38">
        <f>SUM(D88-C88)</f>
        <v>-1</v>
      </c>
    </row>
    <row r="89" spans="1:6" ht="15" hidden="1" customHeight="1">
      <c r="A89" s="35" t="s">
        <v>99</v>
      </c>
      <c r="B89" s="39" t="s">
        <v>100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101</v>
      </c>
      <c r="B90" s="39" t="s">
        <v>102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103</v>
      </c>
      <c r="B91" s="39" t="s">
        <v>104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105</v>
      </c>
      <c r="B92" s="39" t="s">
        <v>106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116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117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118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119</v>
      </c>
      <c r="C97" s="375">
        <f>C55+C63+C65+C71+C76+C80+C82+C87+C93</f>
        <v>9585.8661300000003</v>
      </c>
      <c r="D97" s="388">
        <f>D55+D63+D65+D71+D76+D80+D82+D87+D93</f>
        <v>1761.1722500000001</v>
      </c>
      <c r="E97" s="34">
        <f t="shared" si="7"/>
        <v>18.37259383884177</v>
      </c>
      <c r="F97" s="34">
        <f>SUM(D97-C97)</f>
        <v>-7824.6938800000007</v>
      </c>
    </row>
    <row r="98" spans="1:6" s="65" customFormat="1" ht="22.5" customHeight="1">
      <c r="A98" s="63" t="s">
        <v>120</v>
      </c>
      <c r="B98" s="63"/>
      <c r="C98" s="248"/>
      <c r="D98" s="248"/>
    </row>
    <row r="99" spans="1:6" ht="16.5" customHeight="1">
      <c r="A99" s="66" t="s">
        <v>121</v>
      </c>
      <c r="B99" s="66"/>
      <c r="C99" s="248" t="s">
        <v>122</v>
      </c>
      <c r="D99" s="248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</sheetData>
  <customSheetViews>
    <customSheetView guid="{35821C05-60FE-4C33-8558-8CF10812F6FC}" hiddenRows="1" topLeftCell="A48">
      <selection activeCell="C96" sqref="C96"/>
      <pageMargins left="0.7" right="0.7" top="0.75" bottom="0.75" header="0.3" footer="0.3"/>
      <pageSetup paperSize="9" scale="54" orientation="portrait" r:id="rId1"/>
    </customSheetView>
    <customSheetView guid="{B31C8DB7-3E78-4144-A6B5-8DE36DE63F0E}" hiddenRows="1" topLeftCell="A15">
      <selection activeCell="D51" sqref="D51"/>
      <pageMargins left="0.7" right="0.7" top="0.75" bottom="0.75" header="0.3" footer="0.3"/>
      <pageSetup paperSize="9" scale="54" orientation="portrait" r:id="rId2"/>
    </customSheetView>
    <customSheetView guid="{61528DAC-5C4C-48F4-ADE2-8A724B05A086}" scale="70" showPageBreaks="1" hiddenRows="1" view="pageBreakPreview" topLeftCell="A13">
      <selection activeCell="C68" sqref="C68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6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9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2"/>
  <sheetViews>
    <sheetView topLeftCell="A41" zoomScaleNormal="100" zoomScaleSheetLayoutView="70" workbookViewId="0">
      <selection activeCell="D97" sqref="D97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432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4744.2569999999996</v>
      </c>
      <c r="D4" s="5">
        <f>D5+D12+D14+D7+D20+D17</f>
        <v>836.16683000000012</v>
      </c>
      <c r="E4" s="5">
        <f>SUM(D4/C4*100)</f>
        <v>17.624821547399311</v>
      </c>
      <c r="F4" s="5">
        <f>SUM(D4-C4)</f>
        <v>-3908.0901699999995</v>
      </c>
    </row>
    <row r="5" spans="1:6" s="6" customFormat="1">
      <c r="A5" s="68">
        <v>1010000000</v>
      </c>
      <c r="B5" s="67" t="s">
        <v>6</v>
      </c>
      <c r="C5" s="5">
        <f>C6</f>
        <v>1755.837</v>
      </c>
      <c r="D5" s="5">
        <f>D6</f>
        <v>413.20069000000001</v>
      </c>
      <c r="E5" s="5">
        <f t="shared" ref="E5:E51" si="0">SUM(D5/C5*100)</f>
        <v>23.53297544134222</v>
      </c>
      <c r="F5" s="5">
        <f t="shared" ref="F5:F51" si="1">SUM(D5-C5)</f>
        <v>-1342.6363099999999</v>
      </c>
    </row>
    <row r="6" spans="1:6">
      <c r="A6" s="7">
        <v>1010200001</v>
      </c>
      <c r="B6" s="8" t="s">
        <v>229</v>
      </c>
      <c r="C6" s="91">
        <v>1755.837</v>
      </c>
      <c r="D6" s="10">
        <v>413.20069000000001</v>
      </c>
      <c r="E6" s="9">
        <f t="shared" ref="E6:E11" si="2">SUM(D6/C6*100)</f>
        <v>23.53297544134222</v>
      </c>
      <c r="F6" s="9">
        <f t="shared" si="1"/>
        <v>-1342.6363099999999</v>
      </c>
    </row>
    <row r="7" spans="1:6">
      <c r="A7" s="3">
        <v>1030200001</v>
      </c>
      <c r="B7" s="13" t="s">
        <v>279</v>
      </c>
      <c r="C7" s="5">
        <f>C8+C10+C9</f>
        <v>353.42</v>
      </c>
      <c r="D7" s="5">
        <f>D8+D9+D10+D11</f>
        <v>103.7163</v>
      </c>
      <c r="E7" s="9">
        <f t="shared" si="2"/>
        <v>29.346471620168639</v>
      </c>
      <c r="F7" s="9">
        <f t="shared" si="1"/>
        <v>-249.70370000000003</v>
      </c>
    </row>
    <row r="8" spans="1:6">
      <c r="A8" s="7">
        <v>1030223001</v>
      </c>
      <c r="B8" s="8" t="s">
        <v>283</v>
      </c>
      <c r="C8" s="9">
        <v>131.83000000000001</v>
      </c>
      <c r="D8" s="10">
        <v>45.56183</v>
      </c>
      <c r="E8" s="9">
        <f t="shared" si="2"/>
        <v>34.561048319805806</v>
      </c>
      <c r="F8" s="9">
        <f t="shared" si="1"/>
        <v>-86.268170000000012</v>
      </c>
    </row>
    <row r="9" spans="1:6">
      <c r="A9" s="7">
        <v>1030224001</v>
      </c>
      <c r="B9" s="8" t="s">
        <v>289</v>
      </c>
      <c r="C9" s="9">
        <v>1.41</v>
      </c>
      <c r="D9" s="10">
        <v>0.31835000000000002</v>
      </c>
      <c r="E9" s="9">
        <f t="shared" si="2"/>
        <v>22.578014184397166</v>
      </c>
      <c r="F9" s="9">
        <f t="shared" si="1"/>
        <v>-1.09165</v>
      </c>
    </row>
    <row r="10" spans="1:6">
      <c r="A10" s="7">
        <v>1030225001</v>
      </c>
      <c r="B10" s="8" t="s">
        <v>282</v>
      </c>
      <c r="C10" s="9">
        <v>220.18</v>
      </c>
      <c r="D10" s="10">
        <v>66.803039999999996</v>
      </c>
      <c r="E10" s="9">
        <f t="shared" si="2"/>
        <v>30.340194386411117</v>
      </c>
      <c r="F10" s="9">
        <f t="shared" si="1"/>
        <v>-153.37696</v>
      </c>
    </row>
    <row r="11" spans="1:6">
      <c r="A11" s="7">
        <v>1030226001</v>
      </c>
      <c r="B11" s="8" t="s">
        <v>291</v>
      </c>
      <c r="C11" s="9">
        <v>0</v>
      </c>
      <c r="D11" s="10">
        <v>-8.96692</v>
      </c>
      <c r="E11" s="9" t="e">
        <f t="shared" si="2"/>
        <v>#DIV/0!</v>
      </c>
      <c r="F11" s="9">
        <f t="shared" si="1"/>
        <v>-8.96692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40.386299999999999</v>
      </c>
      <c r="E12" s="5">
        <f t="shared" si="0"/>
        <v>53.848399999999998</v>
      </c>
      <c r="F12" s="5">
        <f t="shared" si="1"/>
        <v>-34.613700000000001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40.386299999999999</v>
      </c>
      <c r="E13" s="9">
        <f t="shared" si="0"/>
        <v>53.848399999999998</v>
      </c>
      <c r="F13" s="9">
        <f t="shared" si="1"/>
        <v>-34.613700000000001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2560</v>
      </c>
      <c r="D14" s="5">
        <f>D15+D16</f>
        <v>278.86354</v>
      </c>
      <c r="E14" s="5">
        <f t="shared" si="0"/>
        <v>10.89310703125</v>
      </c>
      <c r="F14" s="5">
        <f t="shared" si="1"/>
        <v>-2281.1364600000002</v>
      </c>
    </row>
    <row r="15" spans="1:6" s="6" customFormat="1" ht="15" customHeight="1">
      <c r="A15" s="7">
        <v>1060100000</v>
      </c>
      <c r="B15" s="11" t="s">
        <v>254</v>
      </c>
      <c r="C15" s="9">
        <v>900</v>
      </c>
      <c r="D15" s="10">
        <v>65.380229999999997</v>
      </c>
      <c r="E15" s="9">
        <f t="shared" si="0"/>
        <v>7.2644699999999993</v>
      </c>
      <c r="F15" s="9">
        <f>SUM(D15-C15)</f>
        <v>-834.61977000000002</v>
      </c>
    </row>
    <row r="16" spans="1:6" ht="17.25" customHeight="1">
      <c r="A16" s="7">
        <v>1060600000</v>
      </c>
      <c r="B16" s="11" t="s">
        <v>8</v>
      </c>
      <c r="C16" s="9">
        <v>1660</v>
      </c>
      <c r="D16" s="10">
        <v>213.48330999999999</v>
      </c>
      <c r="E16" s="9">
        <f t="shared" si="0"/>
        <v>12.860440361445782</v>
      </c>
      <c r="F16" s="9">
        <f t="shared" si="1"/>
        <v>-1446.5166899999999</v>
      </c>
    </row>
    <row r="17" spans="1:6" s="6" customFormat="1" ht="0.75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0</v>
      </c>
      <c r="D25" s="5">
        <f>D26+D29+D31+D34+D36</f>
        <v>0</v>
      </c>
      <c r="E25" s="5" t="e">
        <f t="shared" si="0"/>
        <v>#DIV/0!</v>
      </c>
      <c r="F25" s="5">
        <f t="shared" si="1"/>
        <v>0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>
        <v>0</v>
      </c>
      <c r="F36" s="5">
        <f t="shared" si="1"/>
        <v>0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4744.2569999999996</v>
      </c>
      <c r="D39" s="127">
        <f>D4+D25</f>
        <v>836.16683000000012</v>
      </c>
      <c r="E39" s="5">
        <f t="shared" si="0"/>
        <v>17.624821547399311</v>
      </c>
      <c r="F39" s="5">
        <f t="shared" si="1"/>
        <v>-3908.0901699999995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13766.395040000001</v>
      </c>
      <c r="D40" s="5">
        <f>D41+D43+D45+D46+D47+D49+D42+D48</f>
        <v>1597.2549999999999</v>
      </c>
      <c r="E40" s="5">
        <f t="shared" si="0"/>
        <v>11.602565489069386</v>
      </c>
      <c r="F40" s="5">
        <f t="shared" si="1"/>
        <v>-12169.140040000002</v>
      </c>
      <c r="G40" s="19"/>
    </row>
    <row r="41" spans="1:7" ht="17.25" customHeight="1">
      <c r="A41" s="16">
        <v>2021000000</v>
      </c>
      <c r="B41" s="17" t="s">
        <v>21</v>
      </c>
      <c r="C41" s="12">
        <v>4687.5</v>
      </c>
      <c r="D41" s="20">
        <v>1171.875</v>
      </c>
      <c r="E41" s="9">
        <f t="shared" si="0"/>
        <v>25</v>
      </c>
      <c r="F41" s="9">
        <f t="shared" si="1"/>
        <v>-3515.625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78">
        <v>8600.4907500000008</v>
      </c>
      <c r="D43" s="10">
        <v>291.52999999999997</v>
      </c>
      <c r="E43" s="9">
        <f t="shared" si="0"/>
        <v>3.3896902918010805</v>
      </c>
      <c r="F43" s="9">
        <f t="shared" si="1"/>
        <v>-8308.9607500000002</v>
      </c>
    </row>
    <row r="44" spans="1:7" ht="0.75" hidden="1" customHeight="1">
      <c r="A44" s="16">
        <v>2022999910</v>
      </c>
      <c r="B44" s="18" t="s">
        <v>350</v>
      </c>
      <c r="C44" s="278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9.2170000000000005</v>
      </c>
      <c r="D45" s="250">
        <v>0</v>
      </c>
      <c r="E45" s="9">
        <f t="shared" si="0"/>
        <v>0</v>
      </c>
      <c r="F45" s="9">
        <f t="shared" si="1"/>
        <v>-9.2170000000000005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/>
      <c r="D47" s="25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469.18729000000002</v>
      </c>
      <c r="D48" s="251">
        <v>133.85</v>
      </c>
      <c r="E48" s="9">
        <f>SUM(D48/C48*100)</f>
        <v>28.528053264187953</v>
      </c>
      <c r="F48" s="9">
        <f>SUM(D48-C48)</f>
        <v>-335.33729000000005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6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371">
        <f>SUM(C39,C40,C50)</f>
        <v>18510.652040000001</v>
      </c>
      <c r="D51" s="372">
        <f>D39+D40</f>
        <v>2433.4218300000002</v>
      </c>
      <c r="E51" s="93">
        <f t="shared" si="0"/>
        <v>13.146062195656723</v>
      </c>
      <c r="F51" s="93">
        <f t="shared" si="1"/>
        <v>-16077.230210000002</v>
      </c>
      <c r="G51" s="151">
        <f>18510.65204-C51</f>
        <v>0</v>
      </c>
    </row>
    <row r="52" spans="1:7" s="6" customFormat="1" ht="23.25" customHeight="1">
      <c r="A52" s="3"/>
      <c r="B52" s="21" t="s">
        <v>321</v>
      </c>
      <c r="C52" s="93">
        <f>C51-C98</f>
        <v>-554.81055999999808</v>
      </c>
      <c r="D52" s="93">
        <f>D51-D98</f>
        <v>-123.76091999999971</v>
      </c>
      <c r="E52" s="280"/>
      <c r="F52" s="280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7" t="s">
        <v>412</v>
      </c>
      <c r="D54" s="73" t="s">
        <v>419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1884.018</v>
      </c>
      <c r="D56" s="33">
        <f>D57+D58+D59+D60+D61+D63+D62</f>
        <v>504.63949000000002</v>
      </c>
      <c r="E56" s="34">
        <f>SUM(D56/C56*100)</f>
        <v>26.785279652317545</v>
      </c>
      <c r="F56" s="34">
        <f>SUM(D56-C56)</f>
        <v>-1379.37851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1705.1</v>
      </c>
      <c r="D58" s="37">
        <v>364.71341999999999</v>
      </c>
      <c r="E58" s="38">
        <f t="shared" ref="E58:E98" si="3">SUM(D58/C58*100)</f>
        <v>21.389561902527713</v>
      </c>
      <c r="F58" s="38">
        <f t="shared" ref="F58:F98" si="4">SUM(D58-C58)</f>
        <v>-1340.3865799999999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44</v>
      </c>
      <c r="B63" s="39" t="s">
        <v>45</v>
      </c>
      <c r="C63" s="97">
        <v>173.91800000000001</v>
      </c>
      <c r="D63" s="37">
        <v>139.92607000000001</v>
      </c>
      <c r="E63" s="38">
        <f t="shared" si="3"/>
        <v>80.455197276877612</v>
      </c>
      <c r="F63" s="38">
        <f t="shared" si="4"/>
        <v>-33.991929999999996</v>
      </c>
    </row>
    <row r="64" spans="1:7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C69+C70+C71</f>
        <v>6</v>
      </c>
      <c r="D66" s="150">
        <f>D69+D70</f>
        <v>0</v>
      </c>
      <c r="E66" s="34">
        <f t="shared" si="3"/>
        <v>0</v>
      </c>
      <c r="F66" s="34">
        <f t="shared" si="4"/>
        <v>-6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7.25" customHeight="1">
      <c r="A70" s="46" t="s">
        <v>219</v>
      </c>
      <c r="B70" s="47" t="s">
        <v>220</v>
      </c>
      <c r="C70" s="9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358</v>
      </c>
      <c r="B71" s="47" t="s">
        <v>415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58</v>
      </c>
      <c r="B72" s="31" t="s">
        <v>59</v>
      </c>
      <c r="C72" s="48">
        <f>SUM(C73:C76)</f>
        <v>3403.7777000000001</v>
      </c>
      <c r="D72" s="48">
        <f>SUM(D73:D76)</f>
        <v>548.54899999999998</v>
      </c>
      <c r="E72" s="34">
        <f t="shared" si="3"/>
        <v>16.115887944150995</v>
      </c>
      <c r="F72" s="34">
        <f t="shared" si="4"/>
        <v>-2855.2287000000001</v>
      </c>
    </row>
    <row r="73" spans="1:7" ht="15" customHeight="1">
      <c r="A73" s="35" t="s">
        <v>60</v>
      </c>
      <c r="B73" s="39" t="s">
        <v>61</v>
      </c>
      <c r="C73" s="49">
        <v>21.448</v>
      </c>
      <c r="D73" s="37">
        <v>0</v>
      </c>
      <c r="E73" s="38">
        <f t="shared" si="3"/>
        <v>0</v>
      </c>
      <c r="F73" s="38">
        <f t="shared" si="4"/>
        <v>-21.448</v>
      </c>
    </row>
    <row r="74" spans="1:7" s="6" customFormat="1" ht="15.75" customHeight="1">
      <c r="A74" s="35" t="s">
        <v>62</v>
      </c>
      <c r="B74" s="39" t="s">
        <v>63</v>
      </c>
      <c r="C74" s="49">
        <v>200</v>
      </c>
      <c r="D74" s="37">
        <v>111.65203</v>
      </c>
      <c r="E74" s="38">
        <f t="shared" si="3"/>
        <v>55.826014999999998</v>
      </c>
      <c r="F74" s="38">
        <f t="shared" si="4"/>
        <v>-88.347970000000004</v>
      </c>
      <c r="G74" s="50"/>
    </row>
    <row r="75" spans="1:7" ht="15" customHeight="1">
      <c r="A75" s="35" t="s">
        <v>64</v>
      </c>
      <c r="B75" s="39" t="s">
        <v>65</v>
      </c>
      <c r="C75" s="49">
        <v>2866.7937000000002</v>
      </c>
      <c r="D75" s="37">
        <v>343.39697000000001</v>
      </c>
      <c r="E75" s="38">
        <f t="shared" si="3"/>
        <v>11.978433258033181</v>
      </c>
      <c r="F75" s="38">
        <f t="shared" si="4"/>
        <v>-2523.3967300000004</v>
      </c>
    </row>
    <row r="76" spans="1:7" ht="18" customHeight="1">
      <c r="A76" s="35" t="s">
        <v>66</v>
      </c>
      <c r="B76" s="39" t="s">
        <v>67</v>
      </c>
      <c r="C76" s="49">
        <v>315.536</v>
      </c>
      <c r="D76" s="37">
        <v>93.5</v>
      </c>
      <c r="E76" s="38">
        <f t="shared" si="3"/>
        <v>29.632118046752193</v>
      </c>
      <c r="F76" s="38">
        <f t="shared" si="4"/>
        <v>-222.036</v>
      </c>
    </row>
    <row r="77" spans="1:7" s="6" customFormat="1" ht="17.25" customHeight="1">
      <c r="A77" s="30" t="s">
        <v>68</v>
      </c>
      <c r="B77" s="31" t="s">
        <v>69</v>
      </c>
      <c r="C77" s="32">
        <f>C78+C79+C80+C83</f>
        <v>10031.6669</v>
      </c>
      <c r="D77" s="32">
        <f>D78+D79+D80+D83</f>
        <v>570.24426000000005</v>
      </c>
      <c r="E77" s="34">
        <f t="shared" si="3"/>
        <v>5.6844417352015553</v>
      </c>
      <c r="F77" s="34">
        <f t="shared" si="4"/>
        <v>-9461.4226400000007</v>
      </c>
    </row>
    <row r="78" spans="1:7" ht="18" customHeight="1">
      <c r="A78" s="35" t="s">
        <v>70</v>
      </c>
      <c r="B78" s="51" t="s">
        <v>71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customHeight="1">
      <c r="A79" s="35" t="s">
        <v>72</v>
      </c>
      <c r="B79" s="51" t="s">
        <v>73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74</v>
      </c>
      <c r="B80" s="39" t="s">
        <v>75</v>
      </c>
      <c r="C80" s="37">
        <v>10031.6669</v>
      </c>
      <c r="D80" s="37">
        <v>570.24426000000005</v>
      </c>
      <c r="E80" s="38">
        <f t="shared" si="3"/>
        <v>5.6844417352015553</v>
      </c>
      <c r="F80" s="38">
        <f t="shared" si="4"/>
        <v>-9461.4226400000007</v>
      </c>
    </row>
    <row r="81" spans="1:6" s="6" customFormat="1" ht="18.75" customHeight="1">
      <c r="A81" s="30" t="s">
        <v>86</v>
      </c>
      <c r="B81" s="31" t="s">
        <v>87</v>
      </c>
      <c r="C81" s="32">
        <f>C82</f>
        <v>3735</v>
      </c>
      <c r="D81" s="32">
        <f>D82</f>
        <v>933.75</v>
      </c>
      <c r="E81" s="38">
        <f t="shared" si="3"/>
        <v>25</v>
      </c>
      <c r="F81" s="38">
        <f t="shared" si="4"/>
        <v>-2801.25</v>
      </c>
    </row>
    <row r="82" spans="1:6" ht="19.5" customHeight="1">
      <c r="A82" s="35" t="s">
        <v>88</v>
      </c>
      <c r="B82" s="39" t="s">
        <v>234</v>
      </c>
      <c r="C82" s="37">
        <v>3735</v>
      </c>
      <c r="D82" s="37">
        <v>933.75</v>
      </c>
      <c r="E82" s="38">
        <f t="shared" si="3"/>
        <v>25</v>
      </c>
      <c r="F82" s="38">
        <f t="shared" si="4"/>
        <v>-2801.25</v>
      </c>
    </row>
    <row r="83" spans="1:6" ht="15" hidden="1" customHeight="1">
      <c r="A83" s="35" t="s">
        <v>264</v>
      </c>
      <c r="B83" s="39" t="s">
        <v>265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95</v>
      </c>
      <c r="B89" s="31" t="s">
        <v>96</v>
      </c>
      <c r="C89" s="32">
        <f>C90+C91+C92+C93+C94</f>
        <v>5</v>
      </c>
      <c r="D89" s="32">
        <f>D90+D91+D92+D93+D94</f>
        <v>0</v>
      </c>
      <c r="E89" s="38">
        <f t="shared" si="3"/>
        <v>0</v>
      </c>
      <c r="F89" s="22">
        <f>F90+F91+F92+F93+F94</f>
        <v>-5</v>
      </c>
    </row>
    <row r="90" spans="1:6" ht="15.75" customHeight="1">
      <c r="A90" s="35" t="s">
        <v>97</v>
      </c>
      <c r="B90" s="39" t="s">
        <v>98</v>
      </c>
      <c r="C90" s="37">
        <v>5</v>
      </c>
      <c r="D90" s="37">
        <v>0</v>
      </c>
      <c r="E90" s="38">
        <f t="shared" si="3"/>
        <v>0</v>
      </c>
      <c r="F90" s="38">
        <f>SUM(D90-C90)</f>
        <v>-5</v>
      </c>
    </row>
    <row r="91" spans="1:6" ht="15" hidden="1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105</v>
      </c>
      <c r="B94" s="39" t="s">
        <v>106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115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117</v>
      </c>
      <c r="C96" s="238"/>
      <c r="D96" s="239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119</v>
      </c>
      <c r="C98" s="375">
        <f>C56+C72+C77+C84+C89+C95+C66+C81</f>
        <v>19065.462599999999</v>
      </c>
      <c r="D98" s="375">
        <f>D56+D72+D77+D84+D89+D95+D66+D81</f>
        <v>2557.1827499999999</v>
      </c>
      <c r="E98" s="34">
        <f t="shared" si="3"/>
        <v>13.412644653059717</v>
      </c>
      <c r="F98" s="34">
        <f t="shared" si="4"/>
        <v>-16508.279849999999</v>
      </c>
      <c r="G98" s="292">
        <f>19065.4626-C98</f>
        <v>0</v>
      </c>
    </row>
    <row r="99" spans="1:7" ht="20.25" customHeight="1">
      <c r="D99" s="244"/>
    </row>
    <row r="100" spans="1:7" s="65" customFormat="1" ht="13.5" customHeight="1">
      <c r="A100" s="63" t="s">
        <v>120</v>
      </c>
      <c r="B100" s="63"/>
      <c r="C100" s="119"/>
      <c r="D100" s="64"/>
    </row>
    <row r="101" spans="1:7" s="65" customFormat="1" ht="12.75">
      <c r="A101" s="66" t="s">
        <v>121</v>
      </c>
      <c r="B101" s="66"/>
      <c r="C101" s="134" t="s">
        <v>122</v>
      </c>
      <c r="D101" s="134"/>
    </row>
    <row r="102" spans="1:7" ht="5.25" customHeight="1"/>
  </sheetData>
  <customSheetViews>
    <customSheetView guid="{35821C05-60FE-4C33-8558-8CF10812F6FC}" hiddenRows="1" topLeftCell="A41">
      <selection activeCell="D97" sqref="D97"/>
      <pageMargins left="0.7" right="0.7" top="0.75" bottom="0.75" header="0.3" footer="0.3"/>
      <pageSetup paperSize="9" scale="50" orientation="portrait" r:id="rId1"/>
    </customSheetView>
    <customSheetView guid="{B31C8DB7-3E78-4144-A6B5-8DE36DE63F0E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61528DAC-5C4C-48F4-ADE2-8A724B05A086}" scale="70" showPageBreaks="1" printArea="1" hiddenRows="1" view="pageBreakPreview" topLeftCell="A16">
      <selection activeCell="B39" sqref="B39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printArea="1" hiddenRows="1" view="pageBreakPreview">
      <selection activeCell="D7" sqref="D7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6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7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9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6"/>
  <sheetViews>
    <sheetView view="pageBreakPreview" zoomScale="86" zoomScaleNormal="100" zoomScaleSheetLayoutView="86" workbookViewId="0">
      <selection activeCell="C102" sqref="C102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2" t="s">
        <v>431</v>
      </c>
      <c r="B1" s="532"/>
      <c r="C1" s="532"/>
      <c r="D1" s="532"/>
      <c r="E1" s="532"/>
      <c r="F1" s="532"/>
    </row>
    <row r="2" spans="1:6">
      <c r="A2" s="532"/>
      <c r="B2" s="532"/>
      <c r="C2" s="532"/>
      <c r="D2" s="532"/>
      <c r="E2" s="532"/>
      <c r="F2" s="532"/>
    </row>
    <row r="3" spans="1:6" ht="63">
      <c r="A3" s="2" t="s">
        <v>1</v>
      </c>
      <c r="B3" s="2" t="s">
        <v>2</v>
      </c>
      <c r="C3" s="72" t="s">
        <v>412</v>
      </c>
      <c r="D3" s="73" t="s">
        <v>418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4741.1550000000007</v>
      </c>
      <c r="D4" s="5">
        <f>D5+D12+D14+D17+D20+D7</f>
        <v>736.01943999999992</v>
      </c>
      <c r="E4" s="5">
        <f>SUM(D4/C4*100)</f>
        <v>15.524053527041403</v>
      </c>
      <c r="F4" s="5">
        <f>SUM(D4-C4)</f>
        <v>-4005.1355600000006</v>
      </c>
    </row>
    <row r="5" spans="1:6" s="6" customFormat="1">
      <c r="A5" s="68">
        <v>1010000000</v>
      </c>
      <c r="B5" s="67" t="s">
        <v>6</v>
      </c>
      <c r="C5" s="5">
        <f>C6</f>
        <v>1300.26</v>
      </c>
      <c r="D5" s="5">
        <f>D6</f>
        <v>337.89508999999998</v>
      </c>
      <c r="E5" s="5">
        <f t="shared" ref="E5:E52" si="0">SUM(D5/C5*100)</f>
        <v>25.986732653469304</v>
      </c>
      <c r="F5" s="5">
        <f t="shared" ref="F5:F52" si="1">SUM(D5-C5)</f>
        <v>-962.36491000000001</v>
      </c>
    </row>
    <row r="6" spans="1:6">
      <c r="A6" s="7">
        <v>1010200001</v>
      </c>
      <c r="B6" s="8" t="s">
        <v>229</v>
      </c>
      <c r="C6" s="9">
        <v>1300.26</v>
      </c>
      <c r="D6" s="10">
        <v>337.89508999999998</v>
      </c>
      <c r="E6" s="9">
        <f t="shared" ref="E6:E11" si="2">SUM(D6/C6*100)</f>
        <v>25.986732653469304</v>
      </c>
      <c r="F6" s="9">
        <f t="shared" si="1"/>
        <v>-962.36491000000001</v>
      </c>
    </row>
    <row r="7" spans="1:6" ht="31.5">
      <c r="A7" s="3">
        <v>1030000000</v>
      </c>
      <c r="B7" s="13" t="s">
        <v>281</v>
      </c>
      <c r="C7" s="5">
        <f>C8+C10+C9</f>
        <v>665.89499999999998</v>
      </c>
      <c r="D7" s="5">
        <f>D8+D10+D9+D11</f>
        <v>195.41666999999998</v>
      </c>
      <c r="E7" s="9">
        <f t="shared" si="2"/>
        <v>29.346469037911383</v>
      </c>
      <c r="F7" s="9">
        <f t="shared" si="1"/>
        <v>-470.47833000000003</v>
      </c>
    </row>
    <row r="8" spans="1:6">
      <c r="A8" s="7">
        <v>1030223001</v>
      </c>
      <c r="B8" s="8" t="s">
        <v>283</v>
      </c>
      <c r="C8" s="9">
        <v>248.38</v>
      </c>
      <c r="D8" s="10">
        <v>85.845150000000004</v>
      </c>
      <c r="E8" s="9">
        <f t="shared" si="2"/>
        <v>34.562021901924474</v>
      </c>
      <c r="F8" s="9">
        <f t="shared" si="1"/>
        <v>-162.53485000000001</v>
      </c>
    </row>
    <row r="9" spans="1:6">
      <c r="A9" s="7">
        <v>1030224001</v>
      </c>
      <c r="B9" s="8" t="s">
        <v>289</v>
      </c>
      <c r="C9" s="9">
        <v>2.665</v>
      </c>
      <c r="D9" s="10">
        <v>0.5998</v>
      </c>
      <c r="E9" s="9">
        <f t="shared" si="2"/>
        <v>22.506566604127578</v>
      </c>
      <c r="F9" s="9">
        <f t="shared" si="1"/>
        <v>-2.0651999999999999</v>
      </c>
    </row>
    <row r="10" spans="1:6">
      <c r="A10" s="7">
        <v>1030225001</v>
      </c>
      <c r="B10" s="8" t="s">
        <v>282</v>
      </c>
      <c r="C10" s="9">
        <v>414.85</v>
      </c>
      <c r="D10" s="10">
        <v>125.86671</v>
      </c>
      <c r="E10" s="9">
        <f t="shared" si="2"/>
        <v>30.340294082198383</v>
      </c>
      <c r="F10" s="9">
        <f t="shared" si="1"/>
        <v>-288.98329000000001</v>
      </c>
    </row>
    <row r="11" spans="1:6">
      <c r="A11" s="7">
        <v>1030226001</v>
      </c>
      <c r="B11" s="8" t="s">
        <v>292</v>
      </c>
      <c r="C11" s="9">
        <v>0</v>
      </c>
      <c r="D11" s="10">
        <v>-16.89499</v>
      </c>
      <c r="E11" s="9" t="e">
        <f t="shared" si="2"/>
        <v>#DIV/0!</v>
      </c>
      <c r="F11" s="9">
        <f t="shared" si="1"/>
        <v>-16.89499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27.633299999999998</v>
      </c>
      <c r="E12" s="5">
        <f t="shared" si="0"/>
        <v>92.111000000000004</v>
      </c>
      <c r="F12" s="5">
        <f t="shared" si="1"/>
        <v>-2.3667000000000016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27.633299999999998</v>
      </c>
      <c r="E13" s="9">
        <f t="shared" si="0"/>
        <v>92.111000000000004</v>
      </c>
      <c r="F13" s="9">
        <f t="shared" si="1"/>
        <v>-2.3667000000000016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2735</v>
      </c>
      <c r="D14" s="5">
        <f>D15+D16</f>
        <v>174.77438000000001</v>
      </c>
      <c r="E14" s="5">
        <f t="shared" si="0"/>
        <v>6.3902881170018286</v>
      </c>
      <c r="F14" s="5">
        <f t="shared" si="1"/>
        <v>-2560.2256200000002</v>
      </c>
    </row>
    <row r="15" spans="1:6" s="6" customFormat="1" ht="15.75" customHeight="1">
      <c r="A15" s="7">
        <v>1060100000</v>
      </c>
      <c r="B15" s="11" t="s">
        <v>9</v>
      </c>
      <c r="C15" s="9">
        <v>495</v>
      </c>
      <c r="D15" s="10">
        <v>6.9102199999999998</v>
      </c>
      <c r="E15" s="9">
        <f t="shared" si="0"/>
        <v>1.3960040404040404</v>
      </c>
      <c r="F15" s="9">
        <f>SUM(D15-C15)</f>
        <v>-488.08978000000002</v>
      </c>
    </row>
    <row r="16" spans="1:6" ht="15.75" customHeight="1">
      <c r="A16" s="7">
        <v>1060600000</v>
      </c>
      <c r="B16" s="11" t="s">
        <v>8</v>
      </c>
      <c r="C16" s="9">
        <v>2240</v>
      </c>
      <c r="D16" s="10">
        <v>167.86416</v>
      </c>
      <c r="E16" s="9">
        <f t="shared" si="0"/>
        <v>7.4939357142857137</v>
      </c>
      <c r="F16" s="9">
        <f t="shared" si="1"/>
        <v>-2072.1358399999999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0.3</v>
      </c>
      <c r="E17" s="5">
        <f t="shared" si="0"/>
        <v>3</v>
      </c>
      <c r="F17" s="5">
        <f t="shared" si="1"/>
        <v>-9.6999999999999993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0.3</v>
      </c>
      <c r="E18" s="9">
        <f t="shared" si="0"/>
        <v>3</v>
      </c>
      <c r="F18" s="9">
        <f t="shared" si="1"/>
        <v>-9.6999999999999993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0</v>
      </c>
      <c r="D25" s="5">
        <f>D26+D29+D31+D36+D34</f>
        <v>17.513960000000001</v>
      </c>
      <c r="E25" s="5" t="e">
        <f t="shared" si="0"/>
        <v>#DIV/0!</v>
      </c>
      <c r="F25" s="5">
        <f t="shared" si="1"/>
        <v>17.513960000000001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252</v>
      </c>
      <c r="C34" s="5">
        <f>C35</f>
        <v>0</v>
      </c>
      <c r="D34" s="5">
        <f>D35</f>
        <v>17.513960000000001</v>
      </c>
      <c r="E34" s="5" t="e">
        <f t="shared" si="0"/>
        <v>#DIV/0!</v>
      </c>
      <c r="F34" s="5">
        <f t="shared" si="1"/>
        <v>17.513960000000001</v>
      </c>
    </row>
    <row r="35" spans="1:7" ht="15" customHeight="1">
      <c r="A35" s="7">
        <v>1163305010</v>
      </c>
      <c r="B35" s="8" t="s">
        <v>268</v>
      </c>
      <c r="C35" s="9">
        <v>0</v>
      </c>
      <c r="D35" s="10">
        <v>17.513960000000001</v>
      </c>
      <c r="E35" s="9" t="e">
        <f t="shared" si="0"/>
        <v>#DIV/0!</v>
      </c>
      <c r="F35" s="9">
        <f t="shared" si="1"/>
        <v>17.513960000000001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4741.1550000000007</v>
      </c>
      <c r="D39" s="127">
        <f>SUM(D4,D25)</f>
        <v>753.53339999999992</v>
      </c>
      <c r="E39" s="5">
        <f t="shared" si="0"/>
        <v>15.893456341334545</v>
      </c>
      <c r="F39" s="5">
        <f t="shared" si="1"/>
        <v>-3987.6216000000009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C41+C43+C45+C46+C48+C49+C42+C44+C51+C47</f>
        <v>5828.0687099999996</v>
      </c>
      <c r="D40" s="341">
        <f>D41+D43+D45+D46+D48+D49+D42+D44+D51</f>
        <v>132.41400000000002</v>
      </c>
      <c r="E40" s="5">
        <f t="shared" si="0"/>
        <v>2.2720047856127632</v>
      </c>
      <c r="F40" s="5">
        <f t="shared" si="1"/>
        <v>-5695.6547099999998</v>
      </c>
      <c r="G40" s="19"/>
    </row>
    <row r="41" spans="1:7" ht="15.75" customHeight="1">
      <c r="A41" s="16">
        <v>2021000000</v>
      </c>
      <c r="B41" s="17" t="s">
        <v>21</v>
      </c>
      <c r="C41" s="12">
        <v>0</v>
      </c>
      <c r="D41" s="20">
        <v>0</v>
      </c>
      <c r="E41" s="9" t="e">
        <f t="shared" si="0"/>
        <v>#DIV/0!</v>
      </c>
      <c r="F41" s="9">
        <f t="shared" si="1"/>
        <v>0</v>
      </c>
    </row>
    <row r="42" spans="1:7" ht="15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4758.9176399999997</v>
      </c>
      <c r="D43" s="10">
        <v>87.915000000000006</v>
      </c>
      <c r="E43" s="9">
        <f t="shared" si="0"/>
        <v>1.8473738494873388</v>
      </c>
      <c r="F43" s="9">
        <f t="shared" si="1"/>
        <v>-4671.0026399999997</v>
      </c>
    </row>
    <row r="44" spans="1:7" hidden="1">
      <c r="A44" s="16">
        <v>2022999910</v>
      </c>
      <c r="B44" s="18" t="s">
        <v>350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181.68199999999999</v>
      </c>
      <c r="D45" s="250">
        <v>44.499000000000002</v>
      </c>
      <c r="E45" s="9">
        <f t="shared" si="0"/>
        <v>24.492795103532551</v>
      </c>
      <c r="F45" s="9">
        <f t="shared" si="1"/>
        <v>-137.18299999999999</v>
      </c>
    </row>
    <row r="46" spans="1:7" ht="12.75" customHeight="1">
      <c r="A46" s="16">
        <v>2020400000</v>
      </c>
      <c r="B46" s="17" t="s">
        <v>24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357</v>
      </c>
      <c r="C47" s="12">
        <v>0</v>
      </c>
      <c r="D47" s="251"/>
      <c r="E47" s="9"/>
      <c r="F47" s="9"/>
    </row>
    <row r="48" spans="1:7" ht="15" customHeight="1">
      <c r="A48" s="16">
        <v>2020900000</v>
      </c>
      <c r="B48" s="18" t="s">
        <v>25</v>
      </c>
      <c r="C48" s="12">
        <v>0</v>
      </c>
      <c r="D48" s="25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26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9.5" customHeight="1">
      <c r="A50" s="3">
        <v>3000000000</v>
      </c>
      <c r="B50" s="13" t="s">
        <v>27</v>
      </c>
      <c r="C50" s="276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352</v>
      </c>
      <c r="C51" s="12">
        <v>887.46906999999999</v>
      </c>
      <c r="D51" s="10">
        <v>0</v>
      </c>
      <c r="E51" s="9">
        <f t="shared" si="0"/>
        <v>0</v>
      </c>
      <c r="F51" s="9">
        <f t="shared" si="1"/>
        <v>-887.46906999999999</v>
      </c>
    </row>
    <row r="52" spans="1:7" s="6" customFormat="1" ht="15.75" customHeight="1">
      <c r="A52" s="3"/>
      <c r="B52" s="4" t="s">
        <v>28</v>
      </c>
      <c r="C52" s="371">
        <f>C39+C40</f>
        <v>10569.22371</v>
      </c>
      <c r="D52" s="372">
        <f>D39+D40</f>
        <v>885.9473999999999</v>
      </c>
      <c r="E52" s="5">
        <f t="shared" si="0"/>
        <v>8.3823317994657138</v>
      </c>
      <c r="F52" s="5">
        <f t="shared" si="1"/>
        <v>-9683.2763100000011</v>
      </c>
      <c r="G52" s="94"/>
    </row>
    <row r="53" spans="1:7" s="6" customFormat="1">
      <c r="A53" s="3"/>
      <c r="B53" s="21" t="s">
        <v>322</v>
      </c>
      <c r="C53" s="93">
        <f>C52-C103</f>
        <v>-785.19563000000016</v>
      </c>
      <c r="D53" s="93">
        <f>D52-D103</f>
        <v>210.17840999999987</v>
      </c>
      <c r="E53" s="22"/>
      <c r="F53" s="22"/>
    </row>
    <row r="54" spans="1:7">
      <c r="A54" s="23"/>
      <c r="B54" s="24"/>
      <c r="C54" s="249"/>
      <c r="D54" s="249"/>
      <c r="E54" s="26"/>
      <c r="F54" s="92"/>
    </row>
    <row r="55" spans="1:7" ht="42.75" customHeight="1">
      <c r="A55" s="28" t="s">
        <v>1</v>
      </c>
      <c r="B55" s="28" t="s">
        <v>29</v>
      </c>
      <c r="C55" s="242" t="s">
        <v>412</v>
      </c>
      <c r="D55" s="243" t="s">
        <v>419</v>
      </c>
      <c r="E55" s="72" t="s">
        <v>3</v>
      </c>
      <c r="F55" s="74" t="s">
        <v>4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30</v>
      </c>
      <c r="B57" s="31" t="s">
        <v>31</v>
      </c>
      <c r="C57" s="245">
        <f>C58+C59+C60+C61+C62+C64+C63</f>
        <v>2124.7999999999997</v>
      </c>
      <c r="D57" s="32">
        <f>D58+D59+D60+D61+D62+D64+D63</f>
        <v>364.16136</v>
      </c>
      <c r="E57" s="34">
        <f>SUM(D57/C57*100)</f>
        <v>17.138618222891569</v>
      </c>
      <c r="F57" s="34">
        <f>SUM(D57-C57)</f>
        <v>-1760.6386399999997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>
      <c r="A59" s="35" t="s">
        <v>34</v>
      </c>
      <c r="B59" s="39" t="s">
        <v>35</v>
      </c>
      <c r="C59" s="37">
        <v>2115.3229999999999</v>
      </c>
      <c r="D59" s="37">
        <v>364.16136</v>
      </c>
      <c r="E59" s="38">
        <f t="shared" ref="E59:E103" si="3">SUM(D59/C59*100)</f>
        <v>17.215402092257307</v>
      </c>
      <c r="F59" s="38">
        <f t="shared" ref="F59:F103" si="4">SUM(D59-C59)</f>
        <v>-1751.1616399999998</v>
      </c>
    </row>
    <row r="60" spans="1:7" ht="0.7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4.4770000000000003</v>
      </c>
      <c r="D64" s="37">
        <v>0</v>
      </c>
      <c r="E64" s="38">
        <f t="shared" si="3"/>
        <v>0</v>
      </c>
      <c r="F64" s="38">
        <f t="shared" si="4"/>
        <v>-4.4770000000000003</v>
      </c>
    </row>
    <row r="65" spans="1:7" s="6" customFormat="1">
      <c r="A65" s="41" t="s">
        <v>46</v>
      </c>
      <c r="B65" s="42" t="s">
        <v>47</v>
      </c>
      <c r="C65" s="32">
        <f>C66</f>
        <v>179.892</v>
      </c>
      <c r="D65" s="32">
        <f>D66</f>
        <v>33.986879999999999</v>
      </c>
      <c r="E65" s="34">
        <f t="shared" si="3"/>
        <v>18.892935761456876</v>
      </c>
      <c r="F65" s="34">
        <f t="shared" si="4"/>
        <v>-145.90512000000001</v>
      </c>
    </row>
    <row r="66" spans="1:7">
      <c r="A66" s="43" t="s">
        <v>48</v>
      </c>
      <c r="B66" s="44" t="s">
        <v>49</v>
      </c>
      <c r="C66" s="37">
        <v>179.892</v>
      </c>
      <c r="D66" s="37">
        <v>33.986879999999999</v>
      </c>
      <c r="E66" s="38">
        <f t="shared" si="3"/>
        <v>18.892935761456876</v>
      </c>
      <c r="F66" s="38">
        <f t="shared" si="4"/>
        <v>-145.90512000000001</v>
      </c>
    </row>
    <row r="67" spans="1:7" s="6" customFormat="1" ht="15" customHeight="1">
      <c r="A67" s="30" t="s">
        <v>50</v>
      </c>
      <c r="B67" s="31" t="s">
        <v>51</v>
      </c>
      <c r="C67" s="32">
        <f>C70+C71+C72</f>
        <v>9</v>
      </c>
      <c r="D67" s="32">
        <f>D70+D71</f>
        <v>0.6</v>
      </c>
      <c r="E67" s="34">
        <f t="shared" si="3"/>
        <v>6.666666666666667</v>
      </c>
      <c r="F67" s="34">
        <f t="shared" si="4"/>
        <v>-8.4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5</v>
      </c>
      <c r="D71" s="37">
        <v>0.6</v>
      </c>
      <c r="E71" s="34">
        <f t="shared" si="3"/>
        <v>12</v>
      </c>
      <c r="F71" s="34">
        <f t="shared" si="4"/>
        <v>-4.4000000000000004</v>
      </c>
    </row>
    <row r="72" spans="1:7" ht="15.75" customHeight="1">
      <c r="A72" s="46" t="s">
        <v>358</v>
      </c>
      <c r="B72" s="47" t="s">
        <v>416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58</v>
      </c>
      <c r="B73" s="31" t="s">
        <v>59</v>
      </c>
      <c r="C73" s="48">
        <f>SUM(C74:C77)</f>
        <v>6768.4988400000002</v>
      </c>
      <c r="D73" s="48">
        <f>SUM(D74:D77)</f>
        <v>160.89941999999999</v>
      </c>
      <c r="E73" s="34">
        <f t="shared" si="3"/>
        <v>2.3771802847793646</v>
      </c>
      <c r="F73" s="34">
        <f t="shared" si="4"/>
        <v>-6607.5994200000005</v>
      </c>
    </row>
    <row r="74" spans="1:7" ht="15" customHeight="1">
      <c r="A74" s="35" t="s">
        <v>60</v>
      </c>
      <c r="B74" s="39" t="s">
        <v>61</v>
      </c>
      <c r="C74" s="49">
        <v>4.0214999999999996</v>
      </c>
      <c r="D74" s="37">
        <v>0</v>
      </c>
      <c r="E74" s="38">
        <f t="shared" si="3"/>
        <v>0</v>
      </c>
      <c r="F74" s="38">
        <f t="shared" si="4"/>
        <v>-4.0214999999999996</v>
      </c>
    </row>
    <row r="75" spans="1:7" s="6" customFormat="1" ht="15" customHeight="1">
      <c r="A75" s="35" t="s">
        <v>62</v>
      </c>
      <c r="B75" s="39" t="s">
        <v>63</v>
      </c>
      <c r="C75" s="49">
        <v>268</v>
      </c>
      <c r="D75" s="37">
        <v>49.006700000000002</v>
      </c>
      <c r="E75" s="38">
        <f t="shared" si="3"/>
        <v>18.286082089552238</v>
      </c>
      <c r="F75" s="38">
        <f t="shared" si="4"/>
        <v>-218.9933</v>
      </c>
      <c r="G75" s="50"/>
    </row>
    <row r="76" spans="1:7">
      <c r="A76" s="35" t="s">
        <v>64</v>
      </c>
      <c r="B76" s="39" t="s">
        <v>65</v>
      </c>
      <c r="C76" s="49">
        <v>6479.4773400000004</v>
      </c>
      <c r="D76" s="37">
        <v>111.89272</v>
      </c>
      <c r="E76" s="38">
        <f t="shared" si="3"/>
        <v>1.726878791739088</v>
      </c>
      <c r="F76" s="38">
        <f t="shared" si="4"/>
        <v>-6367.5846200000005</v>
      </c>
    </row>
    <row r="77" spans="1:7">
      <c r="A77" s="35" t="s">
        <v>66</v>
      </c>
      <c r="B77" s="39" t="s">
        <v>67</v>
      </c>
      <c r="C77" s="49">
        <v>17</v>
      </c>
      <c r="D77" s="37">
        <v>0</v>
      </c>
      <c r="E77" s="38">
        <f t="shared" si="3"/>
        <v>0</v>
      </c>
      <c r="F77" s="38">
        <f t="shared" si="4"/>
        <v>-17</v>
      </c>
    </row>
    <row r="78" spans="1:7" s="6" customFormat="1" ht="17.25" customHeight="1">
      <c r="A78" s="30" t="s">
        <v>68</v>
      </c>
      <c r="B78" s="31" t="s">
        <v>69</v>
      </c>
      <c r="C78" s="32">
        <f>SUM(C79:C82)</f>
        <v>830.52850000000001</v>
      </c>
      <c r="D78" s="32">
        <f>SUM(D79:D82)</f>
        <v>106.12133</v>
      </c>
      <c r="E78" s="34">
        <f t="shared" si="3"/>
        <v>12.777566332762813</v>
      </c>
      <c r="F78" s="34">
        <f t="shared" si="4"/>
        <v>-724.40716999999995</v>
      </c>
    </row>
    <row r="79" spans="1:7" ht="17.25" customHeight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74</v>
      </c>
      <c r="B81" s="39" t="s">
        <v>75</v>
      </c>
      <c r="C81" s="37">
        <v>830.52850000000001</v>
      </c>
      <c r="D81" s="37">
        <v>106.12133</v>
      </c>
      <c r="E81" s="38">
        <f t="shared" si="3"/>
        <v>12.777566332762813</v>
      </c>
      <c r="F81" s="38">
        <f t="shared" si="4"/>
        <v>-724.40716999999995</v>
      </c>
    </row>
    <row r="82" spans="1:6" hidden="1">
      <c r="A82" s="35" t="s">
        <v>264</v>
      </c>
      <c r="B82" s="39" t="s">
        <v>265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86</v>
      </c>
      <c r="B83" s="31" t="s">
        <v>87</v>
      </c>
      <c r="C83" s="32">
        <f>C84+C85</f>
        <v>1411.7</v>
      </c>
      <c r="D83" s="32">
        <f>D84+D85</f>
        <v>0</v>
      </c>
      <c r="E83" s="34">
        <f t="shared" si="3"/>
        <v>0</v>
      </c>
      <c r="F83" s="34">
        <f t="shared" si="4"/>
        <v>-1411.7</v>
      </c>
    </row>
    <row r="84" spans="1:6" ht="18" hidden="1" customHeight="1">
      <c r="A84" s="35" t="s">
        <v>88</v>
      </c>
      <c r="B84" s="39" t="s">
        <v>234</v>
      </c>
      <c r="C84" s="37">
        <v>1411.7</v>
      </c>
      <c r="D84" s="37">
        <v>0</v>
      </c>
      <c r="E84" s="38">
        <f t="shared" si="3"/>
        <v>0</v>
      </c>
      <c r="F84" s="38">
        <f t="shared" si="4"/>
        <v>-1411.7</v>
      </c>
    </row>
    <row r="85" spans="1:6" hidden="1">
      <c r="A85" s="35" t="s">
        <v>273</v>
      </c>
      <c r="B85" s="39" t="s">
        <v>274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89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90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91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92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93</v>
      </c>
      <c r="B90" s="39" t="s">
        <v>94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customHeight="1">
      <c r="A91" s="52">
        <v>1000</v>
      </c>
      <c r="B91" s="31" t="s">
        <v>89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customHeight="1">
      <c r="A92" s="53">
        <v>1006</v>
      </c>
      <c r="B92" s="54" t="s">
        <v>90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96</v>
      </c>
      <c r="C93" s="32">
        <f>C94+C95+C96+C97+C98</f>
        <v>30</v>
      </c>
      <c r="D93" s="32">
        <f>D94+D95+D96+D97+D98</f>
        <v>10</v>
      </c>
      <c r="E93" s="38">
        <f t="shared" si="3"/>
        <v>33.333333333333329</v>
      </c>
      <c r="F93" s="22">
        <f>F94+F95+F96+F97+F98</f>
        <v>-20</v>
      </c>
    </row>
    <row r="94" spans="1:6" ht="18.75" customHeight="1">
      <c r="A94" s="53">
        <v>1101</v>
      </c>
      <c r="B94" s="54" t="s">
        <v>98</v>
      </c>
      <c r="C94" s="37">
        <v>30</v>
      </c>
      <c r="D94" s="37">
        <v>10</v>
      </c>
      <c r="E94" s="38">
        <f t="shared" si="3"/>
        <v>33.333333333333329</v>
      </c>
      <c r="F94" s="38">
        <f>SUM(D94-C94)</f>
        <v>-20</v>
      </c>
    </row>
    <row r="95" spans="1:6" ht="0.75" hidden="1" customHeight="1">
      <c r="A95" s="35" t="s">
        <v>93</v>
      </c>
      <c r="B95" s="39" t="s">
        <v>94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101</v>
      </c>
      <c r="B96" s="39" t="s">
        <v>102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103</v>
      </c>
      <c r="B97" s="39" t="s">
        <v>104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105</v>
      </c>
      <c r="B98" s="39" t="s">
        <v>106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115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116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customHeight="1">
      <c r="A101" s="53">
        <v>1402</v>
      </c>
      <c r="B101" s="54" t="s">
        <v>117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customHeight="1">
      <c r="A102" s="53">
        <v>1403</v>
      </c>
      <c r="B102" s="54" t="s">
        <v>118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119</v>
      </c>
      <c r="C103" s="375">
        <f>C57+C65+C67+C73+C78+C83+C86+C93+C99+C91</f>
        <v>11354.41934</v>
      </c>
      <c r="D103" s="375">
        <f>D57+D65+D67+D73+D78+D83+D86+D93+D99+D91</f>
        <v>675.76899000000003</v>
      </c>
      <c r="E103" s="34">
        <f t="shared" si="3"/>
        <v>5.9515944388222675</v>
      </c>
      <c r="F103" s="34">
        <f t="shared" si="4"/>
        <v>-10678.65035</v>
      </c>
    </row>
    <row r="104" spans="1:6">
      <c r="D104" s="244"/>
    </row>
    <row r="105" spans="1:6" s="65" customFormat="1" ht="12.75">
      <c r="A105" s="63" t="s">
        <v>120</v>
      </c>
      <c r="B105" s="63"/>
      <c r="C105" s="119"/>
      <c r="D105" s="64"/>
    </row>
    <row r="106" spans="1:6" s="65" customFormat="1" ht="18.75" customHeight="1">
      <c r="A106" s="66" t="s">
        <v>121</v>
      </c>
      <c r="B106" s="66"/>
      <c r="C106" s="65" t="s">
        <v>122</v>
      </c>
    </row>
  </sheetData>
  <customSheetViews>
    <customSheetView guid="{35821C05-60FE-4C33-8558-8CF10812F6FC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1"/>
    </customSheetView>
    <customSheetView guid="{B31C8DB7-3E78-4144-A6B5-8DE36DE63F0E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61528DAC-5C4C-48F4-ADE2-8A724B05A086}" scale="70" showPageBreaks="1" hiddenRows="1" view="pageBreakPreview" topLeftCell="A25">
      <selection activeCell="D103" sqref="D103"/>
      <pageMargins left="0.70866141732283472" right="0.70866141732283472" top="0.74803149606299213" bottom="0.74803149606299213" header="0.31496062992125984" footer="0.31496062992125984"/>
      <pageSetup paperSize="9" scale="60" orientation="portrait" r:id="rId3"/>
    </customSheetView>
    <customSheetView guid="{B30CE22D-C12F-4E12-8BB9-3AAE0A6991CC}" scale="70" showPageBreaks="1" hiddenRows="1" view="pageBreakPreview">
      <selection activeCell="C48" sqref="C48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6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7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9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10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2019-04-05T11:22:55Z</cp:lastPrinted>
  <dcterms:created xsi:type="dcterms:W3CDTF">1996-10-08T23:32:33Z</dcterms:created>
  <dcterms:modified xsi:type="dcterms:W3CDTF">2019-05-10T10:01:27Z</dcterms:modified>
</cp:coreProperties>
</file>