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revisions/revisionLog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Default Extension="rels" ContentType="application/vnd.openxmlformats-package.relationships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район!$17:$18,район!$20:$20,район!$25:$25,район!$27:$31,район!$35:$35,район!$38:$38,район!$50:$51,район!$75:$75,район!$82:$82,район!$99:$99,район!$105:$105,район!$133:$135,район!$138:$139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район!$17:$18,район!$20:$20,район!$28:$30,район!$50:$51,район!$62:$62,район!$75:$75,район!$82:$82,район!$99:$99,район!$105:$105,район!$133:$135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Тор!$19:$19,Тор!$50:$50,Тор!$57:$57,Тор!$59:$60,Тор!$67:$68,Тор!$75:$75,Тор!$79:$80,Тор!$84:$96</definedName>
    <definedName name="Z_1A52382B_3765_4E8C_903F_6B8919B7242E_.wvu.Rows" localSheetId="12" hidden="1">Хор!$19:$24,Хор!$32:$32,Хор!$40:$40,Хор!$44:$44,Хор!$55:$55,Хор!$57:$58,Хор!$65:$66,Хор!$81:$85,Хор!$88:$95</definedName>
    <definedName name="Z_1A52382B_3765_4E8C_903F_6B8919B7242E_.wvu.Rows" localSheetId="13" hidden="1">Чум!$19:$21,Чум!$23:$24,Чум!$47:$49,Чум!$57:$57,Чум!$59:$60,Чум!$67:$68,Чум!$83:$87,Чум!$90:$97</definedName>
    <definedName name="Z_1A52382B_3765_4E8C_903F_6B8919B7242E_.wvu.Rows" localSheetId="14" hidden="1">Шать!$19:$24,Шать!$46:$49,Шать!$57:$57,Шать!$59:$60,Шать!$67:$68,Шать!$78:$79,Шать!$83:$87,Шать!$90:$97</definedName>
    <definedName name="Z_1A52382B_3765_4E8C_903F_6B8919B7242E_.wvu.Rows" localSheetId="15" hidden="1">Юнг!$19:$24,Юнг!$32:$32,Юнг!$49:$49,Юнг!$56:$56,Юнг!$58:$59,Юнг!$66:$67,Юнг!$77:$77,Юнг!$82:$86,Юнг!$89:$96</definedName>
    <definedName name="Z_1A52382B_3765_4E8C_903F_6B8919B7242E_.wvu.Rows" localSheetId="16" hidden="1">Юсь!$20:$24,Юсь!$40:$40,Юсь!$44:$49,Юсь!$58:$58,Юсь!$60:$61,Юсь!$68:$69,Юсь!$79:$80,Юсь!$83:$88,Юсь!$91:$98</definedName>
    <definedName name="Z_1A52382B_3765_4E8C_903F_6B8919B7242E_.wvu.Rows" localSheetId="17" hidden="1">Яра!$19:$24,Яра!$46:$50,Яра!$58:$58,Яра!$60:$61,Яра!$68:$69,Яра!$79:$79,Яра!$82:$88,Яра!$91:$98</definedName>
    <definedName name="Z_1A52382B_3765_4E8C_903F_6B8919B7242E_.wvu.Rows" localSheetId="18" hidden="1">Яро!$19:$24,Яро!$29:$30,Яро!$32:$32,Яро!$43:$43,Яро!$54:$54,Яро!$56:$57,Яро!$64:$65,Яро!$75:$76,Яро!$80:$85,Яро!$87:$94</definedName>
    <definedName name="Z_37D0E254_14A1_48DF_98B1_097427A51078_.wvu.Cols" localSheetId="1" hidden="1">Справка!$AV:$AX,Справка!$BB:$BD,Справка!$BH:$BP,Справка!$BT:$BY,Справка!$CX:$DF</definedName>
    <definedName name="Z_37D0E254_14A1_48DF_98B1_097427A51078_.wvu.PrintArea" localSheetId="5" hidden="1">Иль!$A$1:$F$104</definedName>
    <definedName name="Z_37D0E254_14A1_48DF_98B1_097427A51078_.wvu.PrintArea" localSheetId="0" hidden="1">Консол!$A$1:$K$50</definedName>
    <definedName name="Z_37D0E254_14A1_48DF_98B1_097427A51078_.wvu.PrintArea" localSheetId="7" hidden="1">Мор!$A$1:$F$101</definedName>
    <definedName name="Z_37D0E254_14A1_48DF_98B1_097427A51078_.wvu.PrintArea" localSheetId="1" hidden="1">Справка!$A$1:$EY$31</definedName>
    <definedName name="Z_37D0E254_14A1_48DF_98B1_097427A51078_.wvu.PrintArea" localSheetId="4" hidden="1">Сун!$A$1:$F$104</definedName>
    <definedName name="Z_37D0E254_14A1_48DF_98B1_097427A51078_.wvu.PrintArea" localSheetId="11" hidden="1">Тор!$A$1:$F$102</definedName>
    <definedName name="Z_37D0E254_14A1_48DF_98B1_097427A51078_.wvu.PrintArea" localSheetId="15" hidden="1">Юнг!$A$1:$F$100</definedName>
    <definedName name="Z_37D0E254_14A1_48DF_98B1_097427A51078_.wvu.PrintArea" localSheetId="17" hidden="1">Яра!$A$1:$F$102</definedName>
    <definedName name="Z_37D0E254_14A1_48DF_98B1_097427A51078_.wvu.Rows" localSheetId="3" hidden="1">Але!$19:$24,Але!$28:$28,Але!$36:$36,Але!$46:$46,Але!$53:$53,Але!$55:$57,Але!$63:$64,Але!$74:$75,Але!$79:$83,Але!$86:$93,Але!$142:$142</definedName>
    <definedName name="Z_37D0E254_14A1_48DF_98B1_097427A51078_.wvu.Rows" localSheetId="5" hidden="1">Иль!$19:$24,Иль!$30:$39,Иль!$58:$58,Иль!$60:$62,Иль!$68:$69,Иль!$78:$79,Иль!$81:$81,Иль!$86:$90,Иль!$93:$100,Иль!$143:$143</definedName>
    <definedName name="Z_37D0E254_14A1_48DF_98B1_097427A51078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37D0E254_14A1_48DF_98B1_097427A51078_.wvu.Rows" localSheetId="0" hidden="1">Консол!$22:$22,Консол!$43:$45</definedName>
    <definedName name="Z_37D0E254_14A1_48DF_98B1_097427A51078_.wvu.Rows" localSheetId="19" hidden="1">Лист1!$82:$84</definedName>
    <definedName name="Z_37D0E254_14A1_48DF_98B1_097427A51078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37D0E254_14A1_48DF_98B1_097427A51078_.wvu.Rows" localSheetId="8" hidden="1">Мос!$19:$24,Мос!$29:$35,Мос!$44:$44,Мос!$58:$58,Мос!$60:$61,Мос!$68:$69,Мос!$79:$80,Мос!$82:$82,Мос!$85:$92,Мос!$95:$102,Мос!$143:$143</definedName>
    <definedName name="Z_37D0E254_14A1_48DF_98B1_097427A51078_.wvu.Rows" localSheetId="9" hidden="1">Ори!$19:$24,Ори!$31:$35,Ори!$44:$44,Ори!$46:$46,Ори!$48:$50,Ори!$57:$57,Ори!$59:$60,Ори!$67:$68,Ори!$78:$79,Ори!$81:$81,Ори!$84:$88,Ори!$91:$98,Ори!$142:$142</definedName>
    <definedName name="Z_37D0E254_14A1_48DF_98B1_097427A51078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37D0E254_14A1_48DF_98B1_097427A51078_.wvu.Rows" localSheetId="1" hidden="1">Справка!$33:$33</definedName>
    <definedName name="Z_37D0E254_14A1_48DF_98B1_097427A51078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37D0E254_14A1_48DF_98B1_097427A51078_.wvu.Rows" localSheetId="10" hidden="1">Сят!$19:$24,Сят!$31:$33,Сят!$38:$38,Сят!$45:$48,Сят!$57:$57,Сят!$59:$60,Сят!$67:$68,Сят!$78:$79,Сят!$83:$87,Сят!$90:$97,Сят!$143:$143</definedName>
    <definedName name="Z_37D0E254_14A1_48DF_98B1_097427A51078_.wvu.Rows" localSheetId="11" hidden="1">Тор!$19:$24,Тор!$32:$36,Тор!$39:$39,Тор!$50:$50,Тор!$57:$57,Тор!$59:$60,Тор!$67:$68,Тор!$75:$75,Тор!$79:$80,Тор!$86:$87,Тор!$90:$96,Тор!$143:$143</definedName>
    <definedName name="Z_37D0E254_14A1_48DF_98B1_097427A51078_.wvu.Rows" localSheetId="12" hidden="1">Хор!$19:$24,Хор!$28:$36,Хор!$40:$40,Хор!$44:$44,Хор!$46:$48,Хор!$55:$55,Хор!$57:$59,Хор!$65:$66,Хор!$76:$77,Хор!$81:$85,Хор!$88:$95,Хор!$142:$142</definedName>
    <definedName name="Z_37D0E254_14A1_48DF_98B1_097427A51078_.wvu.Rows" localSheetId="13" hidden="1">Чум!$19:$24,Чум!$31:$36,Чум!$46:$49,Чум!$57:$57,Чум!$59:$61,Чум!$67:$68,Чум!$78:$79,Чум!$83:$87,Чум!$90:$97,Чум!$142:$142</definedName>
    <definedName name="Z_37D0E254_14A1_48DF_98B1_097427A51078_.wvu.Rows" localSheetId="14" hidden="1">Шать!$19:$25,Шать!$31:$33,Шать!$46:$49,Шать!$57:$57,Шать!$59:$60,Шать!$67:$68,Шать!$78:$79,Шать!$84:$86,Шать!$90:$97,Шать!$142:$142</definedName>
    <definedName name="Z_37D0E254_14A1_48DF_98B1_097427A51078_.wvu.Rows" localSheetId="15" hidden="1">Юнг!$19:$24,Юнг!$38:$38,Юнг!$46:$46,Юнг!$56:$56,Юнг!$58:$60,Юнг!$66:$67,Юнг!$77:$78,Юнг!$82:$86,Юнг!$89:$96,Юнг!$142:$142</definedName>
    <definedName name="Z_37D0E254_14A1_48DF_98B1_097427A51078_.wvu.Rows" localSheetId="16" hidden="1">Юсь!$19:$24,Юсь!$31:$33,Юсь!$36:$36,Юсь!$44:$50,Юсь!$58:$58,Юсь!$60:$61,Юсь!$68:$69,Юсь!$79:$80,Юсь!$84:$88,Юсь!$91:$98,Юсь!$142:$142</definedName>
    <definedName name="Z_37D0E254_14A1_48DF_98B1_097427A51078_.wvu.Rows" localSheetId="17" hidden="1">Яра!$19:$24,Яра!$46:$50,Яра!$58:$58,Яра!$60:$62,Яра!$68:$69,Яра!$79:$80,Яра!$84:$88,Яра!$91:$98,Яра!$143:$143</definedName>
    <definedName name="Z_37D0E254_14A1_48DF_98B1_097427A51078_.wvu.Rows" localSheetId="18" hidden="1">Яро!$19:$24,Яро!$28:$28,Яро!$43:$43,Яро!$54:$54,Яро!$56:$58,Яро!$64:$65,Яро!$75:$75,Яро!$82:$84,Яро!$87:$90,Яро!$92:$94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район!$17:$18,район!$20:$20,район!$28:$30,район!$50:$51,район!$75:$75,район!$82:$82,район!$99:$99,район!$105:$105,район!$133:$135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$113:$113,район!$133:$135,район!$138:$139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район!$17:$18,район!$20:$20,район!$28:$30,район!$50:$51,район!$75:$75,район!$82:$82,район!$99:$99,район!$105:$105,район!$133:$135</definedName>
    <definedName name="Z_5BFCA170_DEAE_4D2C_98A0_1E68B427AC01_.wvu.Rows" localSheetId="1" hidden="1">Справка!$33:$33,Справка!$35:$35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Иль!$19:$24,Иль!$30:$39,Иль!$58:$58,Иль!$60:$62,Иль!$68:$69,Иль!$78:$79,Иль!$81:$81,Иль!$86:$90,Иль!$93:$100,Иль!$143:$143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Мос!$19:$24,Мос!$29:$35,Мос!$44:$44,Мос!$50:$50,Мос!$58:$58,Мос!$60:$61,Мос!$68:$69,Мос!$79:$80,Мос!$82:$82,Мос!$85:$92,Мос!$95:$102,Мос!$143:$143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61528DAC_5C4C_48F4_ADE2_8A724B05A086_.wvu.Rows" localSheetId="1" hidden="1">Справка!$33:$33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Хор!$19:$24,Хор!$28:$36,Хор!$40:$40,Хор!$44:$44,Хор!$46:$48,Хор!$55:$55,Хор!$57:$59,Хор!$65:$66,Хор!$76:$77,Хор!$81:$85,Хор!$88:$95,Хор!$142:$142</definedName>
    <definedName name="Z_61528DAC_5C4C_48F4_ADE2_8A724B05A086_.wvu.Rows" localSheetId="13" hidden="1">Чум!$19:$24,Чум!$31:$36,Чум!$46:$49,Чум!$57:$57,Чум!$59:$61,Чум!$67:$68,Чум!$78:$79,Чум!$83:$87,Чум!$90:$97,Чум!$142:$142</definedName>
    <definedName name="Z_61528DAC_5C4C_48F4_ADE2_8A724B05A086_.wvu.Rows" localSheetId="14" hidden="1">Шать!$19:$25,Шать!$31:$33,Шать!$46:$49,Шать!$57:$57,Шать!$59:$60,Шать!$67:$68,Шать!$78:$79,Шать!$84:$86,Шать!$90:$97,Шать!$142:$142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Яра!$19:$24,Яра!$46:$50,Яра!$58:$58,Яра!$60:$62,Яра!$68:$69,Яра!$79:$80,Яра!$84:$88,Яра!$91:$98,Яра!$143:$143</definedName>
    <definedName name="Z_61528DAC_5C4C_48F4_ADE2_8A724B05A086_.wvu.Rows" localSheetId="18" hidden="1">Яро!$19:$24,Яро!$28:$30,Яро!$43:$43,Яро!$54:$54,Яро!$56:$58,Яро!$64:$65,Яро!$75:$75,Яро!$82:$84,Яро!$87:$90,Яро!$92:$94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район!$17:$18,район!$20:$20,район!$25:$25,район!$27:$31,район!$35:$35,район!$38:$38,район!$50:$51,район!$62:$62,район!$75:$75,район!$82:$82,район!$99:$99,район!$105:$105,район!$133:$135,район!$138:$139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5" hidden="1">Юнг!$A$1:$F$100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Але!$19:$24,Але!$28:$28,Але!$36:$36,Але!$46:$46,Але!$53:$53,Але!$55:$57,Але!$63:$64,Але!$74:$75,Але!$79:$83,Але!$86:$93,Але!$142:$142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Мос!$19:$24,Мос!$29:$35,Мос!$44:$44,Мос!$58:$58,Мос!$60:$61,Мос!$68:$69,Мос!$79:$80,Мос!$82:$82,Мос!$85:$92,Мос!$95:$102,Мос!$143:$143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Ори!$19:$24,Ори!$31:$35,Ори!$44:$44,Ори!$46:$46,Ори!$48:$50,Ори!$57:$57,Ори!$59:$60,Ори!$67:$68,Ори!$78:$79,Ори!$81:$81,Ори!$84:$88,Ори!$91:$98,Ори!$142:$142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Сят!$19:$24,Сят!$31:$33,Сят!$38:$38,Сят!$45:$48,Сят!$57:$57,Сят!$59:$60,Сят!$67:$68,Сят!$78:$79,Сят!$83:$87,Сят!$90:$97,Сят!$143:$143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Тор!$19:$24,Тор!$32:$36,Тор!$39:$39,Тор!$50:$50,Тор!$57:$57,Тор!$59:$60,Тор!$67:$68,Тор!$75:$75,Тор!$79:$80,Тор!$86:$87,Тор!$90:$96,Тор!$143:$143</definedName>
    <definedName name="Z_B30CE22D_C12F_4E12_8BB9_3AAE0A6991CC_.wvu.Rows" localSheetId="12" hidden="1">Хор!$19:$24,Хор!$28:$36,Хор!$40:$40,Хор!$44:$44,Хор!$46:$48,Хор!$55:$55,Хор!$57:$59,Хор!$65:$66,Хор!$76:$77,Хор!$81:$85,Хор!$88:$95,Хор!$142:$142</definedName>
    <definedName name="Z_B30CE22D_C12F_4E12_8BB9_3AAE0A6991CC_.wvu.Rows" localSheetId="13" hidden="1">Чум!$19:$24,Чум!$31:$36,Чум!$46:$49,Чум!$57:$57,Чум!$59:$61,Чум!$67:$68,Чум!$78:$79,Чум!$83:$87,Чум!$90:$97,Чум!$142:$142</definedName>
    <definedName name="Z_B30CE22D_C12F_4E12_8BB9_3AAE0A6991CC_.wvu.Rows" localSheetId="14" hidden="1">Шать!$19:$25,Шать!$31:$33,Шать!$46:$49,Шать!$57:$57,Шать!$59:$60,Шать!$67:$68,Шать!$78:$79,Шать!$84:$86,Шать!$90:$97,Шать!$142:$142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Юсь!$19:$24,Юсь!$31:$33,Юсь!$36:$36,Юсь!$44:$50,Юсь!$58:$58,Юсь!$60:$61,Юсь!$68:$69,Юсь!$79:$80,Юсь!$84:$88,Юсь!$91:$98,Юсь!$142:$142</definedName>
    <definedName name="Z_B30CE22D_C12F_4E12_8BB9_3AAE0A6991CC_.wvu.Rows" localSheetId="17" hidden="1">Яра!$19:$24,Яра!$46:$50,Яра!$58:$58,Яра!$60:$62,Яра!$68:$69,Яра!$79:$80,Яра!$84:$88,Яра!$91:$98,Яра!$143:$143</definedName>
    <definedName name="Z_B30CE22D_C12F_4E12_8BB9_3AAE0A6991CC_.wvu.Rows" localSheetId="18" hidden="1">Яро!$19:$24,Яро!$28:$28,Яро!$43:$43,Яро!$54:$54,Яро!$56:$58,Яро!$64:$65,Яро!$75:$75,Яро!$82:$84,Яро!$87:$90,Яро!$92:$94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Тор!$A$1:$F$102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1 - Личное представление" guid="{37D0E254-14A1-48DF-98B1-097427A51078}" mergeInterval="0" personalView="1" maximized="1" xWindow="1" yWindow="1" windowWidth="1356" windowHeight="538" tabRatio="695" activeSheetId="19"/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3 - Личное представление" guid="{61528DAC-5C4C-48F4-ADE2-8A724B05A086}" mergeInterval="0" personalView="1" maximized="1" xWindow="1" yWindow="1" windowWidth="1916" windowHeight="850" tabRatio="695" activeSheetId="4"/>
    <customWorkbookView name="morgau_fin4 - Личное представление" guid="{1A52382B-3765-4E8C-903F-6B8919B7242E}" mergeInterval="0" personalView="1" maximized="1" xWindow="1" yWindow="1" windowWidth="1916" windowHeight="850" tabRatio="695" activeSheetId="8"/>
    <customWorkbookView name="morgau_fin2 - Личное представление" guid="{B30CE22D-C12F-4E12-8BB9-3AAE0A6991CC}" mergeInterval="0" personalView="1" maximized="1" xWindow="1" yWindow="1" windowWidth="1916" windowHeight="859" tabRatio="695" activeSheetId="1"/>
  </customWorkbookViews>
</workbook>
</file>

<file path=xl/calcChain.xml><?xml version="1.0" encoding="utf-8"?>
<calcChain xmlns="http://schemas.openxmlformats.org/spreadsheetml/2006/main">
  <c r="CR19" i="2"/>
  <c r="AB28"/>
  <c r="AZ17"/>
  <c r="AZ19"/>
  <c r="AZ20"/>
  <c r="AZ21"/>
  <c r="AZ24"/>
  <c r="AZ26"/>
  <c r="AZ27"/>
  <c r="AZ28"/>
  <c r="C67" i="5"/>
  <c r="C66" i="8"/>
  <c r="F71"/>
  <c r="E71"/>
  <c r="DF36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C104" i="3" l="1"/>
  <c r="C33"/>
  <c r="D40" i="16"/>
  <c r="D34" i="15" l="1"/>
  <c r="D36" i="7"/>
  <c r="D66" i="12"/>
  <c r="D34" i="11"/>
  <c r="D26"/>
  <c r="D14"/>
  <c r="CV26" i="2"/>
  <c r="AT18"/>
  <c r="AQ18"/>
  <c r="C34" i="11" l="1"/>
  <c r="BN21" i="2" s="1"/>
  <c r="C82" i="12"/>
  <c r="C38" i="17"/>
  <c r="D12" i="19"/>
  <c r="D33" i="3"/>
  <c r="E40"/>
  <c r="F40"/>
  <c r="D67" i="18" l="1"/>
  <c r="E42" i="13"/>
  <c r="D82" i="12"/>
  <c r="D64"/>
  <c r="D67" i="6"/>
  <c r="C67"/>
  <c r="E72"/>
  <c r="F72"/>
  <c r="C68" i="4"/>
  <c r="D68"/>
  <c r="D98" i="3"/>
  <c r="D104" l="1"/>
  <c r="G32" i="1" s="1"/>
  <c r="CO19" i="2"/>
  <c r="E49" i="9"/>
  <c r="D5" i="5"/>
  <c r="C29" i="12"/>
  <c r="J15" i="2"/>
  <c r="E103" i="3"/>
  <c r="F103"/>
  <c r="D12" i="7"/>
  <c r="CD14" i="2"/>
  <c r="CS17"/>
  <c r="CD17"/>
  <c r="C38" i="4"/>
  <c r="AT28" i="2"/>
  <c r="F28" i="18"/>
  <c r="E28"/>
  <c r="D26"/>
  <c r="C67"/>
  <c r="F72"/>
  <c r="E72"/>
  <c r="D73"/>
  <c r="F29"/>
  <c r="E29"/>
  <c r="C116" i="3"/>
  <c r="C98"/>
  <c r="E93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125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E28" i="3"/>
  <c r="E29"/>
  <c r="E30"/>
  <c r="E31"/>
  <c r="F81" i="5"/>
  <c r="F76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10" i="3"/>
  <c r="G33" i="1" s="1"/>
  <c r="C110" i="3"/>
  <c r="F33" i="1" s="1"/>
  <c r="E112" i="3"/>
  <c r="E113"/>
  <c r="E102"/>
  <c r="E91"/>
  <c r="E74"/>
  <c r="E75"/>
  <c r="E70"/>
  <c r="E71"/>
  <c r="E60"/>
  <c r="D52"/>
  <c r="G20" i="1" s="1"/>
  <c r="E34" i="3"/>
  <c r="E35"/>
  <c r="E25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P23" i="2"/>
  <c r="BO21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E82" i="3"/>
  <c r="AQ27" i="2"/>
  <c r="AQ25"/>
  <c r="AQ19"/>
  <c r="AR19" s="1"/>
  <c r="AQ17"/>
  <c r="AT29"/>
  <c r="AU29" s="1"/>
  <c r="BU35"/>
  <c r="BU36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AZ15" i="2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D116" i="3"/>
  <c r="G35" i="1" s="1"/>
  <c r="D35" s="1"/>
  <c r="F119" i="3"/>
  <c r="E119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I36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30" i="3"/>
  <c r="G38" i="1" s="1"/>
  <c r="C97" i="12"/>
  <c r="EQ22" i="2" s="1"/>
  <c r="D7" i="16"/>
  <c r="E42" i="9"/>
  <c r="F42"/>
  <c r="ER14" i="2"/>
  <c r="C84" i="4"/>
  <c r="EL14" i="2"/>
  <c r="C77" i="4"/>
  <c r="D73"/>
  <c r="C73"/>
  <c r="EH14" i="2" s="1"/>
  <c r="D62" i="4"/>
  <c r="EB14" i="2"/>
  <c r="C60" i="4"/>
  <c r="C94" s="1"/>
  <c r="G94" s="1"/>
  <c r="D52"/>
  <c r="D36" i="16"/>
  <c r="D140" i="3"/>
  <c r="G41" i="1" s="1"/>
  <c r="D16" i="3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40" i="3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E55" i="3"/>
  <c r="D23"/>
  <c r="G12" i="1" s="1"/>
  <c r="BU33" i="2"/>
  <c r="DF33"/>
  <c r="D47" i="3"/>
  <c r="D42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D12" i="3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30" i="3"/>
  <c r="F38" i="1" s="1"/>
  <c r="C125" i="3"/>
  <c r="F37" i="1" s="1"/>
  <c r="D122" i="3"/>
  <c r="G36" i="1" s="1"/>
  <c r="C122" i="3"/>
  <c r="F36" i="1" s="1"/>
  <c r="C133" i="3"/>
  <c r="E133" s="1"/>
  <c r="D114"/>
  <c r="F32" i="1"/>
  <c r="D96" i="3"/>
  <c r="G30" i="1" s="1"/>
  <c r="E98" i="3"/>
  <c r="C88"/>
  <c r="F29" i="1" s="1"/>
  <c r="C7" i="3"/>
  <c r="F6" i="1" s="1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E30" i="19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8"/>
  <c r="F108"/>
  <c r="E109"/>
  <c r="F109"/>
  <c r="E111"/>
  <c r="F111"/>
  <c r="F112"/>
  <c r="F113"/>
  <c r="C114"/>
  <c r="F34" i="1" s="1"/>
  <c r="C34" s="1"/>
  <c r="E115" i="3"/>
  <c r="F115"/>
  <c r="E117"/>
  <c r="F117"/>
  <c r="E118"/>
  <c r="F118"/>
  <c r="E120"/>
  <c r="F120"/>
  <c r="E121"/>
  <c r="F121"/>
  <c r="E123"/>
  <c r="F123"/>
  <c r="E124"/>
  <c r="F124"/>
  <c r="E126"/>
  <c r="F126"/>
  <c r="E127"/>
  <c r="F127"/>
  <c r="E128"/>
  <c r="F128"/>
  <c r="E129"/>
  <c r="F129"/>
  <c r="E131"/>
  <c r="F131"/>
  <c r="E132"/>
  <c r="F132"/>
  <c r="E134"/>
  <c r="E135"/>
  <c r="C136"/>
  <c r="F39" i="1" s="1"/>
  <c r="C39" s="1"/>
  <c r="D136" i="3"/>
  <c r="E137"/>
  <c r="F137"/>
  <c r="C138"/>
  <c r="F40" i="1" s="1"/>
  <c r="C40" s="1"/>
  <c r="G40"/>
  <c r="D40" s="1"/>
  <c r="F139" i="3"/>
  <c r="E141"/>
  <c r="F141"/>
  <c r="E142"/>
  <c r="F142"/>
  <c r="E143"/>
  <c r="F143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V36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V36" s="1"/>
  <c r="AW31"/>
  <c r="AW33" s="1"/>
  <c r="BT31"/>
  <c r="BT35" s="1"/>
  <c r="BT36" s="1"/>
  <c r="BW31"/>
  <c r="BW35" s="1"/>
  <c r="BW36" s="1"/>
  <c r="BX31"/>
  <c r="BX33" s="1"/>
  <c r="CU31"/>
  <c r="CU35" s="1"/>
  <c r="CU36" s="1"/>
  <c r="CX31"/>
  <c r="CX35" s="1"/>
  <c r="CX36" s="1"/>
  <c r="CY31"/>
  <c r="CY35" s="1"/>
  <c r="CY36" s="1"/>
  <c r="DA31"/>
  <c r="DA33" s="1"/>
  <c r="DD31"/>
  <c r="DD35" s="1"/>
  <c r="DD36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F73" i="3"/>
  <c r="E73"/>
  <c r="E77" i="12"/>
  <c r="F74" i="17"/>
  <c r="C73"/>
  <c r="EE27" i="2" s="1"/>
  <c r="E74" i="17"/>
  <c r="E80" i="8"/>
  <c r="F80"/>
  <c r="E74"/>
  <c r="CC20" i="2"/>
  <c r="C72" i="12"/>
  <c r="C38" i="19"/>
  <c r="F39"/>
  <c r="J31" i="2" l="1"/>
  <c r="E64" i="11"/>
  <c r="D25" i="19"/>
  <c r="D95"/>
  <c r="E14" i="12"/>
  <c r="EQ29" i="2"/>
  <c r="ES29" s="1"/>
  <c r="F140" i="3"/>
  <c r="F17" i="14"/>
  <c r="C99" i="12"/>
  <c r="D99"/>
  <c r="D25"/>
  <c r="V31" i="2"/>
  <c r="V36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4" i="3"/>
  <c r="E54" i="13"/>
  <c r="N22" i="2"/>
  <c r="F14" i="11"/>
  <c r="DO18" i="2"/>
  <c r="K17"/>
  <c r="E125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E130" i="3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BP18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BL33" s="1"/>
  <c r="E89" i="8"/>
  <c r="EA18" i="2"/>
  <c r="AR18"/>
  <c r="BZ16"/>
  <c r="E7" i="6"/>
  <c r="E32"/>
  <c r="F12"/>
  <c r="F86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5" s="1"/>
  <c r="AJ36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BK33" s="1"/>
  <c r="E20" i="7"/>
  <c r="O31" i="2"/>
  <c r="O36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5"/>
  <c r="BC36" s="1"/>
  <c r="BC33"/>
  <c r="E12" i="4"/>
  <c r="F90"/>
  <c r="F20"/>
  <c r="E23" i="3"/>
  <c r="D144"/>
  <c r="F7"/>
  <c r="F11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6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12" i="3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114" i="3"/>
  <c r="E7" i="9"/>
  <c r="F26" i="17"/>
  <c r="Z24" i="2"/>
  <c r="Z16"/>
  <c r="F65" i="7"/>
  <c r="D4" i="5"/>
  <c r="E5" i="15"/>
  <c r="D37" i="19"/>
  <c r="D48" s="1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DT33" s="1"/>
  <c r="AG31"/>
  <c r="I31"/>
  <c r="I36" s="1"/>
  <c r="D97" i="16"/>
  <c r="EG27" i="2"/>
  <c r="DO26"/>
  <c r="CP31"/>
  <c r="CP35" s="1"/>
  <c r="CP36" s="1"/>
  <c r="D99" i="18"/>
  <c r="H33" i="1"/>
  <c r="H6"/>
  <c r="F125" i="3"/>
  <c r="E140"/>
  <c r="D25" i="16"/>
  <c r="D39" s="1"/>
  <c r="D50" s="1"/>
  <c r="BR26" i="2"/>
  <c r="AQ31"/>
  <c r="D4" i="3"/>
  <c r="EM25" i="2"/>
  <c r="DJ25"/>
  <c r="W25"/>
  <c r="E83" i="15"/>
  <c r="D25"/>
  <c r="E64" i="14"/>
  <c r="AE31" i="2"/>
  <c r="AE36" s="1"/>
  <c r="CL31"/>
  <c r="D98" i="15"/>
  <c r="F77" i="14"/>
  <c r="E41"/>
  <c r="BZ25" i="2"/>
  <c r="E81" i="15"/>
  <c r="DP31" i="2"/>
  <c r="DP36" s="1"/>
  <c r="DJ24"/>
  <c r="F64" i="15"/>
  <c r="H24" i="1"/>
  <c r="E47" i="3"/>
  <c r="BY35" i="2"/>
  <c r="BY36" s="1"/>
  <c r="BY33"/>
  <c r="EM26"/>
  <c r="BI33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5" i="19"/>
  <c r="AW35" i="2"/>
  <c r="AW36" s="1"/>
  <c r="E66" i="12"/>
  <c r="F66"/>
  <c r="F81" i="15"/>
  <c r="F138" i="3"/>
  <c r="F64" i="13"/>
  <c r="F72" i="8"/>
  <c r="C98"/>
  <c r="G98" s="1"/>
  <c r="D98" i="14"/>
  <c r="E79" i="13"/>
  <c r="E20" i="12"/>
  <c r="F83" i="15"/>
  <c r="E91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10"/>
  <c r="AP29" i="2"/>
  <c r="AR29" s="1"/>
  <c r="E29" i="15"/>
  <c r="F23" i="3"/>
  <c r="F33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6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E33" i="3"/>
  <c r="F21" i="1"/>
  <c r="F66" i="14"/>
  <c r="E95" i="18"/>
  <c r="F34" i="19"/>
  <c r="CK29" i="2"/>
  <c r="DO24"/>
  <c r="CK24"/>
  <c r="AU23"/>
  <c r="CS31"/>
  <c r="CS36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30" i="3"/>
  <c r="D97" i="7"/>
  <c r="AI28" i="2"/>
  <c r="CN21"/>
  <c r="K14"/>
  <c r="EA28"/>
  <c r="CK21"/>
  <c r="F57" i="6"/>
  <c r="F7"/>
  <c r="DM31" i="2"/>
  <c r="DM36" s="1"/>
  <c r="J36"/>
  <c r="CE26"/>
  <c r="CA26"/>
  <c r="CA29"/>
  <c r="CA28"/>
  <c r="CA27"/>
  <c r="CO31"/>
  <c r="CO36" s="1"/>
  <c r="CA24"/>
  <c r="CA23"/>
  <c r="EP22"/>
  <c r="CF31"/>
  <c r="CF36" s="1"/>
  <c r="CA22"/>
  <c r="AD31"/>
  <c r="L31"/>
  <c r="L36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6" s="1"/>
  <c r="DJ22"/>
  <c r="CX33"/>
  <c r="F19"/>
  <c r="BS22"/>
  <c r="E26" i="4"/>
  <c r="F26"/>
  <c r="C4" i="15"/>
  <c r="E65" i="16"/>
  <c r="EB26" i="2"/>
  <c r="F7" i="17"/>
  <c r="E7"/>
  <c r="F98" i="3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32" i="3"/>
  <c r="CE27" i="2"/>
  <c r="T23"/>
  <c r="DX15"/>
  <c r="EP14"/>
  <c r="F30" i="6"/>
  <c r="D99" i="10"/>
  <c r="G18" i="1"/>
  <c r="H18" s="1"/>
  <c r="D32" i="3"/>
  <c r="K23" i="2"/>
  <c r="DV31"/>
  <c r="CJ31"/>
  <c r="CJ36" s="1"/>
  <c r="EJ25"/>
  <c r="E40" i="7"/>
  <c r="F69" i="19"/>
  <c r="AL24" i="2"/>
  <c r="BZ20"/>
  <c r="E77" i="14"/>
  <c r="DA35" i="2"/>
  <c r="DA36" s="1"/>
  <c r="AV33"/>
  <c r="BW33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BP24" i="2"/>
  <c r="G24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6" s="1"/>
  <c r="R31"/>
  <c r="R36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6" s="1"/>
  <c r="CM31"/>
  <c r="CM36" s="1"/>
  <c r="AB31"/>
  <c r="EK17"/>
  <c r="EM17" s="1"/>
  <c r="N17"/>
  <c r="ED22"/>
  <c r="EM29"/>
  <c r="BZ14"/>
  <c r="F91" i="5"/>
  <c r="EP19" i="2"/>
  <c r="F20" i="12"/>
  <c r="F34" i="7"/>
  <c r="BS16" i="2"/>
  <c r="CC31"/>
  <c r="CC36" s="1"/>
  <c r="H37" i="1"/>
  <c r="BV33" i="2"/>
  <c r="CZ31"/>
  <c r="CZ33" s="1"/>
  <c r="DB31"/>
  <c r="BX35"/>
  <c r="BX36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M36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6" s="1"/>
  <c r="F27"/>
  <c r="E36" i="7"/>
  <c r="F36"/>
  <c r="BQ17" i="2"/>
  <c r="BS17" s="1"/>
  <c r="DZ31"/>
  <c r="DZ36" s="1"/>
  <c r="BP28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F52" i="3"/>
  <c r="DS31" i="2"/>
  <c r="DS36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P25" i="2"/>
  <c r="BB31"/>
  <c r="BD14"/>
  <c r="F136" i="3"/>
  <c r="G39" i="1"/>
  <c r="E136" i="3"/>
  <c r="F5"/>
  <c r="F5" i="1"/>
  <c r="C4" i="3"/>
  <c r="E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4"/>
  <c r="F88"/>
  <c r="EK18" i="2"/>
  <c r="E81" i="8"/>
  <c r="C25"/>
  <c r="F26"/>
  <c r="E42" i="3"/>
  <c r="G16" i="1"/>
  <c r="F42" i="3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16" i="3"/>
  <c r="F116"/>
  <c r="F122"/>
  <c r="E122"/>
  <c r="E12" i="11"/>
  <c r="F12"/>
  <c r="CQ21" i="2"/>
  <c r="E21" i="3"/>
  <c r="F21"/>
  <c r="EE15" i="2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6" s="1"/>
  <c r="CT19"/>
  <c r="F73" i="17"/>
  <c r="CN28" i="2"/>
  <c r="F50" i="3"/>
  <c r="F31" i="8"/>
  <c r="E17" i="9"/>
  <c r="F31" i="11"/>
  <c r="F89" i="12"/>
  <c r="C96" i="13"/>
  <c r="F88" i="14"/>
  <c r="C25"/>
  <c r="E14" i="16"/>
  <c r="D103" i="9"/>
  <c r="ES22" i="2"/>
  <c r="DK16"/>
  <c r="DX16"/>
  <c r="F19" i="1"/>
  <c r="E50" i="3"/>
  <c r="E12"/>
  <c r="F7" i="1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6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U36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3" i="2"/>
  <c r="BH35"/>
  <c r="BH36" s="1"/>
  <c r="BJ31"/>
  <c r="DE35"/>
  <c r="DE36" s="1"/>
  <c r="DE33"/>
  <c r="DJ28"/>
  <c r="DJ27"/>
  <c r="DW31"/>
  <c r="DW36" s="1"/>
  <c r="AH31"/>
  <c r="AH36" s="1"/>
  <c r="EG18"/>
  <c r="DK27"/>
  <c r="DJ21"/>
  <c r="CD33" l="1"/>
  <c r="CD36"/>
  <c r="AB33"/>
  <c r="AB36"/>
  <c r="S33"/>
  <c r="S36"/>
  <c r="M33"/>
  <c r="M36"/>
  <c r="I10" i="1"/>
  <c r="C10" s="1"/>
  <c r="AD36" i="2"/>
  <c r="CL33"/>
  <c r="CL36"/>
  <c r="I12" i="1"/>
  <c r="C12" s="1"/>
  <c r="AG36" i="2"/>
  <c r="DQ33"/>
  <c r="DQ36"/>
  <c r="J38" i="1"/>
  <c r="ER36" i="2"/>
  <c r="DV33"/>
  <c r="DV36"/>
  <c r="P33"/>
  <c r="P36"/>
  <c r="AQ33"/>
  <c r="AQ36"/>
  <c r="G18"/>
  <c r="D18" s="1"/>
  <c r="AT31"/>
  <c r="AT36" s="1"/>
  <c r="C40" i="5"/>
  <c r="C52" s="1"/>
  <c r="C53" s="1"/>
  <c r="X33" i="2"/>
  <c r="D40" i="18"/>
  <c r="D52" s="1"/>
  <c r="D53" s="1"/>
  <c r="J33" i="2"/>
  <c r="BS15"/>
  <c r="G15"/>
  <c r="D15" s="1"/>
  <c r="CB29"/>
  <c r="D49" i="19"/>
  <c r="E25" i="15"/>
  <c r="ED26" i="2"/>
  <c r="BN31"/>
  <c r="E25" i="5"/>
  <c r="E4" i="13"/>
  <c r="CZ35" i="2"/>
  <c r="CZ36" s="1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F4" i="13"/>
  <c r="E25" i="12"/>
  <c r="E71" i="7"/>
  <c r="C40" i="6"/>
  <c r="C52" s="1"/>
  <c r="G16" i="2"/>
  <c r="D16" s="1"/>
  <c r="BO31"/>
  <c r="BO36" s="1"/>
  <c r="E4" i="5"/>
  <c r="F4" i="4"/>
  <c r="D37"/>
  <c r="D47" s="1"/>
  <c r="DG20" i="2"/>
  <c r="DL23"/>
  <c r="DL19"/>
  <c r="BM31"/>
  <c r="BM33" s="1"/>
  <c r="DY31"/>
  <c r="ES26"/>
  <c r="D40" i="14"/>
  <c r="AL31" i="2"/>
  <c r="AL36" s="1"/>
  <c r="DL24"/>
  <c r="H20"/>
  <c r="C19"/>
  <c r="BL35"/>
  <c r="BL36" s="1"/>
  <c r="F98" i="8"/>
  <c r="CB16" i="2"/>
  <c r="DG14"/>
  <c r="H31" i="1"/>
  <c r="BK35" i="2"/>
  <c r="BK36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1" i="5"/>
  <c r="E4" i="4"/>
  <c r="F94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D33"/>
  <c r="AN35"/>
  <c r="AN36" s="1"/>
  <c r="V33"/>
  <c r="E101" i="5"/>
  <c r="ER33" i="2"/>
  <c r="C15"/>
  <c r="AA33"/>
  <c r="I6" i="1"/>
  <c r="C6" s="1"/>
  <c r="C37" i="4"/>
  <c r="C47" s="1"/>
  <c r="E94"/>
  <c r="I8" i="1"/>
  <c r="C8" s="1"/>
  <c r="DH15" i="2"/>
  <c r="CB20"/>
  <c r="C22"/>
  <c r="CB14"/>
  <c r="AG33"/>
  <c r="D28"/>
  <c r="H28"/>
  <c r="CB27"/>
  <c r="F4" i="15"/>
  <c r="CO33" i="2"/>
  <c r="DT35"/>
  <c r="DT36" s="1"/>
  <c r="CB28"/>
  <c r="E89" i="18"/>
  <c r="BZ31" i="2"/>
  <c r="BZ36" s="1"/>
  <c r="DU31"/>
  <c r="DU33" s="1"/>
  <c r="I33"/>
  <c r="D27"/>
  <c r="DO31"/>
  <c r="CQ31"/>
  <c r="CP33"/>
  <c r="DS33"/>
  <c r="CC33"/>
  <c r="I5" i="1"/>
  <c r="C5" s="1"/>
  <c r="L33" i="2"/>
  <c r="N31"/>
  <c r="G4" i="1"/>
  <c r="G26" i="2"/>
  <c r="D26" s="1"/>
  <c r="D72" i="3"/>
  <c r="F4"/>
  <c r="AF31" i="2"/>
  <c r="AE33"/>
  <c r="J10" i="1"/>
  <c r="D10" s="1"/>
  <c r="E10" s="1"/>
  <c r="DR31" i="2"/>
  <c r="DR33" s="1"/>
  <c r="E4" i="15"/>
  <c r="D40"/>
  <c r="D51" s="1"/>
  <c r="DP33" i="2"/>
  <c r="DL25"/>
  <c r="D29"/>
  <c r="EX29" s="1"/>
  <c r="J25" i="1"/>
  <c r="D25" s="1"/>
  <c r="CS33" i="2"/>
  <c r="AM33"/>
  <c r="DH16"/>
  <c r="ED28"/>
  <c r="F25" i="10"/>
  <c r="D25" i="2"/>
  <c r="DN33"/>
  <c r="AP31"/>
  <c r="H34" i="1"/>
  <c r="D34"/>
  <c r="E34" s="1"/>
  <c r="K31" i="2"/>
  <c r="BQ31"/>
  <c r="BQ33" s="1"/>
  <c r="DG18"/>
  <c r="D39" i="11"/>
  <c r="D51" s="1"/>
  <c r="F51" s="1"/>
  <c r="DG23" i="2"/>
  <c r="J5" i="1"/>
  <c r="D5" s="1"/>
  <c r="C37" i="13"/>
  <c r="C49" s="1"/>
  <c r="C50" s="1"/>
  <c r="DM33" i="2"/>
  <c r="E98" i="8"/>
  <c r="F29" i="2"/>
  <c r="C29" s="1"/>
  <c r="D20"/>
  <c r="Q31"/>
  <c r="R33"/>
  <c r="D24"/>
  <c r="I7" i="1"/>
  <c r="E25" i="9"/>
  <c r="EM18" i="2"/>
  <c r="C20"/>
  <c r="CJ33"/>
  <c r="AS33"/>
  <c r="C14"/>
  <c r="J6" i="1"/>
  <c r="D6" s="1"/>
  <c r="CM33" i="2"/>
  <c r="Z19"/>
  <c r="DG22"/>
  <c r="DL16"/>
  <c r="U33"/>
  <c r="DH28"/>
  <c r="EN31"/>
  <c r="BS28"/>
  <c r="C40" i="15"/>
  <c r="DL22" i="2"/>
  <c r="EG19"/>
  <c r="D40" i="5"/>
  <c r="E144" i="3"/>
  <c r="T31" i="2"/>
  <c r="F99" i="12"/>
  <c r="E99"/>
  <c r="CH31" i="2"/>
  <c r="DK31"/>
  <c r="CG33"/>
  <c r="AK35"/>
  <c r="AK36" s="1"/>
  <c r="J13" i="1"/>
  <c r="D13" s="1"/>
  <c r="AK33" i="2"/>
  <c r="AX33"/>
  <c r="AX35"/>
  <c r="AX36" s="1"/>
  <c r="F25" i="5"/>
  <c r="CN31" i="2"/>
  <c r="C40" i="18"/>
  <c r="AC31" i="2"/>
  <c r="J8" i="1"/>
  <c r="W31" i="2"/>
  <c r="CE31"/>
  <c r="AU18"/>
  <c r="DH20"/>
  <c r="DB33"/>
  <c r="DC31"/>
  <c r="DB35"/>
  <c r="DB36" s="1"/>
  <c r="CB15"/>
  <c r="F4" i="18"/>
  <c r="E4"/>
  <c r="DZ33" i="2"/>
  <c r="J30" i="1"/>
  <c r="D30" s="1"/>
  <c r="DL28" i="2"/>
  <c r="E25" i="18"/>
  <c r="E25" i="10"/>
  <c r="C39" i="9"/>
  <c r="BE33" i="2"/>
  <c r="I18" i="1"/>
  <c r="C18" s="1"/>
  <c r="E72" i="10"/>
  <c r="F21" i="2"/>
  <c r="C27"/>
  <c r="H27"/>
  <c r="EE24"/>
  <c r="E72" i="14"/>
  <c r="F72"/>
  <c r="C98"/>
  <c r="G89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V33" i="2"/>
  <c r="CW31"/>
  <c r="CV35"/>
  <c r="CV36" s="1"/>
  <c r="E4" i="12"/>
  <c r="D40"/>
  <c r="F4"/>
  <c r="F12" i="9"/>
  <c r="E12"/>
  <c r="D4"/>
  <c r="Y31" i="2"/>
  <c r="Y36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6" s="1"/>
  <c r="F57" i="18"/>
  <c r="E57"/>
  <c r="C99"/>
  <c r="EE25" i="2"/>
  <c r="E72" i="15"/>
  <c r="F72"/>
  <c r="ED21" i="2"/>
  <c r="DH21"/>
  <c r="ED19"/>
  <c r="DH19"/>
  <c r="E25" i="11"/>
  <c r="F25"/>
  <c r="EJ20" i="2"/>
  <c r="EI31"/>
  <c r="EI36" s="1"/>
  <c r="EG23"/>
  <c r="EG20"/>
  <c r="F96" i="13"/>
  <c r="EB31" i="2"/>
  <c r="EB36" s="1"/>
  <c r="DG19"/>
  <c r="ED27"/>
  <c r="CI33"/>
  <c r="CK31"/>
  <c r="DH17"/>
  <c r="EG17"/>
  <c r="EF31"/>
  <c r="EF36" s="1"/>
  <c r="EO31"/>
  <c r="EO36" s="1"/>
  <c r="EP18"/>
  <c r="BA18"/>
  <c r="AY31"/>
  <c r="AY36" s="1"/>
  <c r="F18"/>
  <c r="C35" i="1"/>
  <c r="E35" s="1"/>
  <c r="F28"/>
  <c r="H35"/>
  <c r="F4"/>
  <c r="H5"/>
  <c r="F32" i="3"/>
  <c r="E32"/>
  <c r="ED14" i="2"/>
  <c r="EC31"/>
  <c r="EC36" s="1"/>
  <c r="D19"/>
  <c r="H19"/>
  <c r="D4" i="7"/>
  <c r="F12"/>
  <c r="E12"/>
  <c r="D37" i="17"/>
  <c r="F4"/>
  <c r="E4"/>
  <c r="E4" i="14"/>
  <c r="F4"/>
  <c r="EM19" i="2"/>
  <c r="EL31"/>
  <c r="EL36" s="1"/>
  <c r="F103" i="9"/>
  <c r="E103"/>
  <c r="E76" i="7"/>
  <c r="F76"/>
  <c r="C97"/>
  <c r="EH17" i="2"/>
  <c r="EJ17" s="1"/>
  <c r="ES19"/>
  <c r="EQ31"/>
  <c r="EQ36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6" s="1"/>
  <c r="D39" i="8"/>
  <c r="F4"/>
  <c r="E4"/>
  <c r="D39" i="1"/>
  <c r="H39"/>
  <c r="G28"/>
  <c r="E96" i="13"/>
  <c r="F72" i="10"/>
  <c r="C99"/>
  <c r="E99" s="1"/>
  <c r="F25" i="18"/>
  <c r="DL20" i="2"/>
  <c r="C72" i="3"/>
  <c r="C39" i="8"/>
  <c r="C51" s="1"/>
  <c r="F144" i="3"/>
  <c r="E4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R33" i="2"/>
  <c r="CT31"/>
  <c r="E38" i="4"/>
  <c r="F38"/>
  <c r="EJ26" i="2"/>
  <c r="DH26"/>
  <c r="F25"/>
  <c r="BS25"/>
  <c r="EV20"/>
  <c r="EU31"/>
  <c r="BB35"/>
  <c r="BB36" s="1"/>
  <c r="BB33"/>
  <c r="BD31"/>
  <c r="F73" i="6"/>
  <c r="F82" i="17"/>
  <c r="DH23" i="2"/>
  <c r="DH18"/>
  <c r="DL21"/>
  <c r="CB22"/>
  <c r="CA31"/>
  <c r="CA36" s="1"/>
  <c r="BJ33"/>
  <c r="BJ35"/>
  <c r="BJ36" s="1"/>
  <c r="DX31"/>
  <c r="DW33"/>
  <c r="DH27"/>
  <c r="DL27"/>
  <c r="AH33"/>
  <c r="J12" i="1"/>
  <c r="AI31" i="2"/>
  <c r="DJ31"/>
  <c r="DJ36" s="1"/>
  <c r="C52" i="8" l="1"/>
  <c r="G51"/>
  <c r="DK33" i="2"/>
  <c r="DK36"/>
  <c r="I15" i="1"/>
  <c r="C15" s="1"/>
  <c r="AP36" i="2"/>
  <c r="AO33"/>
  <c r="AO36"/>
  <c r="J17" i="1"/>
  <c r="D17" s="1"/>
  <c r="AZ36" i="2"/>
  <c r="I30" i="1"/>
  <c r="C30" s="1"/>
  <c r="E30" s="1"/>
  <c r="DY36" i="2"/>
  <c r="I20" i="1"/>
  <c r="C20" s="1"/>
  <c r="BN36" i="2"/>
  <c r="EN33"/>
  <c r="EN36"/>
  <c r="D83" i="3"/>
  <c r="D84" s="1"/>
  <c r="D52" i="15"/>
  <c r="D52" i="11"/>
  <c r="D52" i="10"/>
  <c r="C52" i="9"/>
  <c r="C53" s="1"/>
  <c r="W33" i="2"/>
  <c r="C53" i="17"/>
  <c r="EW23" i="2"/>
  <c r="DG28"/>
  <c r="EW28" s="1"/>
  <c r="F25" i="16"/>
  <c r="BN33" i="2"/>
  <c r="E16"/>
  <c r="EX25"/>
  <c r="E28"/>
  <c r="C39" i="16"/>
  <c r="C50" s="1"/>
  <c r="E50" s="1"/>
  <c r="BM35" i="2"/>
  <c r="BM36" s="1"/>
  <c r="EW20"/>
  <c r="J20" i="1"/>
  <c r="D20" s="1"/>
  <c r="E20" s="1"/>
  <c r="BO33" i="2"/>
  <c r="C53" i="6"/>
  <c r="BP31" i="2"/>
  <c r="H16"/>
  <c r="DI14"/>
  <c r="EW19"/>
  <c r="EA31"/>
  <c r="DY33"/>
  <c r="DG21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BQ36" s="1"/>
  <c r="F40" i="18"/>
  <c r="K5" i="1"/>
  <c r="BZ33" i="2"/>
  <c r="C7" i="1"/>
  <c r="C4" s="1"/>
  <c r="EW27" i="2"/>
  <c r="J29" i="1"/>
  <c r="D29" s="1"/>
  <c r="D51" i="16"/>
  <c r="K10" i="1"/>
  <c r="H14"/>
  <c r="AP33" i="2"/>
  <c r="AR31"/>
  <c r="H29"/>
  <c r="EX24"/>
  <c r="E29"/>
  <c r="EX18"/>
  <c r="I37" i="1"/>
  <c r="C37" s="1"/>
  <c r="E39" i="11"/>
  <c r="E101" i="6"/>
  <c r="E40" i="18"/>
  <c r="C52"/>
  <c r="C53" s="1"/>
  <c r="C48" i="4"/>
  <c r="E20" i="2"/>
  <c r="K6" i="1"/>
  <c r="DI20" i="2"/>
  <c r="DI22"/>
  <c r="C51" i="15"/>
  <c r="F40"/>
  <c r="E40"/>
  <c r="D52" i="5"/>
  <c r="G52" s="1"/>
  <c r="E40"/>
  <c r="F40"/>
  <c r="E97" i="7"/>
  <c r="DI21" i="2"/>
  <c r="EX21"/>
  <c r="F97" i="7"/>
  <c r="DC35" i="2"/>
  <c r="DC36" s="1"/>
  <c r="DC33"/>
  <c r="AT33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C83" i="3"/>
  <c r="F72"/>
  <c r="E72"/>
  <c r="H23" i="2"/>
  <c r="D23"/>
  <c r="F97" i="16"/>
  <c r="E97"/>
  <c r="E4" i="7"/>
  <c r="D39"/>
  <c r="F4"/>
  <c r="H4" i="1"/>
  <c r="F23"/>
  <c r="F27" s="1"/>
  <c r="F43" s="1"/>
  <c r="EI33" i="2"/>
  <c r="J33" i="1"/>
  <c r="F98" i="15"/>
  <c r="E98"/>
  <c r="F99" i="18"/>
  <c r="E99"/>
  <c r="D17" i="2"/>
  <c r="H17"/>
  <c r="ET33"/>
  <c r="ET35"/>
  <c r="ET36" s="1"/>
  <c r="I41" i="1"/>
  <c r="DG16" i="2"/>
  <c r="EG16"/>
  <c r="EE31"/>
  <c r="EE36" s="1"/>
  <c r="E98" i="14"/>
  <c r="F98"/>
  <c r="F47" i="4"/>
  <c r="E47"/>
  <c r="D48"/>
  <c r="BD35" i="2"/>
  <c r="BD36" s="1"/>
  <c r="BD33"/>
  <c r="E37" i="19"/>
  <c r="F37"/>
  <c r="E39" i="1"/>
  <c r="J21"/>
  <c r="D21" s="1"/>
  <c r="BR33" i="2"/>
  <c r="BS31"/>
  <c r="EQ33"/>
  <c r="I38" i="1"/>
  <c r="ES31" i="2"/>
  <c r="EC33"/>
  <c r="J31" i="1"/>
  <c r="D31" s="1"/>
  <c r="ED31" i="2"/>
  <c r="BA31"/>
  <c r="AY33"/>
  <c r="I17" i="1"/>
  <c r="J32"/>
  <c r="EF33" i="2"/>
  <c r="I31" i="1"/>
  <c r="C31" s="1"/>
  <c r="EB33" i="2"/>
  <c r="EG25"/>
  <c r="DG25"/>
  <c r="DI25" s="1"/>
  <c r="J18" i="1"/>
  <c r="BF33" i="2"/>
  <c r="BG31"/>
  <c r="BG33" s="1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6" s="1"/>
  <c r="C52" i="11"/>
  <c r="E51"/>
  <c r="J41" i="1"/>
  <c r="EU35" i="2"/>
  <c r="EU36" s="1"/>
  <c r="EV31"/>
  <c r="EU33"/>
  <c r="EX26"/>
  <c r="F39" i="8"/>
  <c r="D51"/>
  <c r="E39"/>
  <c r="DG26" i="2"/>
  <c r="EW26" s="1"/>
  <c r="EG26"/>
  <c r="J36" i="1"/>
  <c r="EL33" i="2"/>
  <c r="E19"/>
  <c r="EX19"/>
  <c r="C18"/>
  <c r="H18"/>
  <c r="F31"/>
  <c r="F36" s="1"/>
  <c r="EO33"/>
  <c r="J37" i="1"/>
  <c r="D37" s="1"/>
  <c r="EP31" i="2"/>
  <c r="E4" i="9"/>
  <c r="F4"/>
  <c r="D39"/>
  <c r="F40" i="12"/>
  <c r="D51"/>
  <c r="E40"/>
  <c r="E99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G36" s="1"/>
  <c r="D14"/>
  <c r="EW15"/>
  <c r="DI15"/>
  <c r="C51" i="10"/>
  <c r="F39"/>
  <c r="E39"/>
  <c r="J7" i="1"/>
  <c r="J4" s="1"/>
  <c r="Y33" i="2"/>
  <c r="Z31"/>
  <c r="CW33"/>
  <c r="F99" i="17"/>
  <c r="C52" i="14"/>
  <c r="I29" i="1"/>
  <c r="C29" s="1"/>
  <c r="DJ33" i="2"/>
  <c r="EX27"/>
  <c r="DI27"/>
  <c r="K12" i="1"/>
  <c r="D12"/>
  <c r="DH31" i="2"/>
  <c r="DH36" s="1"/>
  <c r="DL31"/>
  <c r="CB31"/>
  <c r="J24" i="1"/>
  <c r="CA33" i="2"/>
  <c r="E37" i="1" l="1"/>
  <c r="K30"/>
  <c r="EM31" i="2"/>
  <c r="EK36"/>
  <c r="C52" i="15"/>
  <c r="E31" i="1"/>
  <c r="E29"/>
  <c r="D28"/>
  <c r="K38"/>
  <c r="C38"/>
  <c r="DI28" i="2"/>
  <c r="EY28"/>
  <c r="F50" i="16"/>
  <c r="C51"/>
  <c r="F39"/>
  <c r="E39"/>
  <c r="EY20" i="2"/>
  <c r="EY19"/>
  <c r="EX22"/>
  <c r="EY22" s="1"/>
  <c r="DI17"/>
  <c r="D31"/>
  <c r="D36" s="1"/>
  <c r="EY27"/>
  <c r="K29" i="1"/>
  <c r="EK33" i="2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EE33" i="2"/>
  <c r="G33"/>
  <c r="H31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6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E12" i="1"/>
  <c r="K24"/>
  <c r="DI31" i="2" l="1"/>
  <c r="DG36"/>
  <c r="E38" i="1"/>
  <c r="C28"/>
  <c r="E28" s="1"/>
  <c r="E31" i="2"/>
  <c r="D33"/>
  <c r="I28" i="1"/>
  <c r="K28" s="1"/>
  <c r="DG33" i="2"/>
  <c r="EY14"/>
  <c r="EX31"/>
  <c r="EX36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6" s="1"/>
  <c r="C33"/>
  <c r="E17" i="1"/>
  <c r="C14"/>
  <c r="C23" s="1"/>
  <c r="C27" s="1"/>
  <c r="J43"/>
  <c r="C43" l="1"/>
  <c r="D23"/>
  <c r="D27" s="1"/>
  <c r="I43"/>
  <c r="F44" s="1"/>
  <c r="F45" s="1"/>
  <c r="E14"/>
  <c r="G44"/>
  <c r="EX33" i="2"/>
  <c r="EY31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<sst xmlns="http://schemas.openxmlformats.org/spreadsheetml/2006/main" count="2860" uniqueCount="441">
  <si>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</si>
  <si>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</si>
  <si>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</si>
  <si>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</si>
  <si>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</si>
  <si>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</si>
  <si>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</si>
  <si>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</si>
  <si>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</si>
  <si>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</si>
  <si>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</si>
  <si>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</si>
  <si>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</si>
  <si>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</si>
  <si>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</si>
  <si>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</si>
  <si>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</si>
  <si>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</si>
  <si>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</si>
  <si>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</si>
  <si>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</si>
  <si>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</si>
  <si>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</si>
  <si>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</si>
  <si>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</si>
  <si>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</si>
  <si>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</si>
  <si>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</si>
  <si>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</si>
  <si>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</si>
  <si>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</si>
  <si>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</si>
  <si>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</si>
  <si>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</si>
  <si>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</si>
  <si>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</si>
  <si>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</si>
  <si>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</si>
  <si>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</si>
  <si>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</si>
  <si>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</si>
  <si>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</si>
  <si>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</si>
  <si>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</si>
  <si>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</si>
  <si>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</si>
  <si>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</si>
  <si>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</si>
  <si>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</si>
  <si>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</si>
  <si>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</si>
  <si>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</si>
  <si>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</si>
  <si>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</si>
  <si>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</si>
  <si>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</si>
  <si>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</si>
  <si>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</si>
  <si>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</si>
  <si>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</si>
  <si>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</si>
  <si>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</si>
  <si>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</si>
  <si>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</si>
  <si>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</si>
  <si>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</si>
  <si>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</si>
  <si>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</si>
  <si>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</si>
  <si>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</si>
  <si>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</si>
  <si>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</si>
  <si>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</si>
  <si>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</si>
  <si>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</si>
  <si>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</si>
  <si>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</si>
  <si>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</si>
  <si>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</si>
  <si>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</si>
  <si>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</si>
  <si>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</si>
  <si>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</si>
  <si>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</si>
  <si>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</si>
  <si>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</si>
  <si>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</si>
  <si>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</si>
  <si>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</si>
  <si>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</si>
  <si>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</si>
  <si>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</si>
  <si>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</si>
  <si>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</si>
  <si>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</si>
  <si>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</si>
  <si>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</si>
  <si>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</si>
  <si>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</si>
  <si>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</si>
  <si>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</si>
  <si>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</si>
  <si>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</si>
  <si>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</si>
  <si>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</si>
  <si>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</si>
  <si>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</si>
  <si>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</si>
  <si>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</si>
  <si>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</si>
  <si>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</si>
  <si>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</si>
  <si>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</si>
  <si>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</si>
  <si>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</si>
  <si>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</si>
  <si>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</si>
  <si>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</si>
  <si>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</si>
  <si>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</si>
  <si>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</si>
  <si>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</si>
  <si>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</si>
  <si>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</si>
  <si>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</si>
  <si>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</si>
  <si>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</si>
  <si>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</si>
  <si>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</si>
  <si>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</si>
  <si>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</si>
  <si>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</si>
  <si>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</si>
  <si>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</si>
  <si>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</si>
  <si>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</si>
  <si>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</si>
  <si>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</si>
  <si>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</si>
  <si>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</si>
  <si>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</si>
  <si>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</si>
  <si>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</si>
  <si>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</si>
  <si>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</si>
  <si>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</si>
  <si>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</si>
  <si>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</si>
  <si>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</si>
  <si>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</si>
  <si>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</si>
  <si>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</si>
  <si>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</si>
  <si>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</si>
  <si>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</si>
  <si>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</si>
  <si>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</si>
  <si>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</si>
  <si>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</si>
  <si>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</si>
  <si>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</si>
  <si>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</si>
  <si>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</si>
  <si>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</si>
  <si>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</si>
  <si>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</si>
  <si>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</si>
  <si>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</si>
  <si>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</si>
  <si>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</si>
  <si>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</si>
  <si>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</si>
  <si>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</si>
  <si>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</si>
  <si>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</si>
  <si>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</si>
  <si>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</si>
  <si>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</si>
  <si>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</si>
  <si>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</si>
  <si>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</si>
  <si>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</si>
  <si>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</si>
  <si>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</si>
  <si>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</si>
  <si>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</si>
  <si>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</si>
  <si>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</si>
  <si>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</si>
  <si>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</si>
  <si>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</si>
  <si>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</si>
  <si>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</si>
  <si>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</si>
  <si>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</si>
  <si>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</si>
  <si>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</si>
  <si>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</si>
  <si>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</si>
  <si>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</si>
  <si>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</si>
  <si>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</si>
  <si>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</si>
  <si>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</si>
  <si>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</si>
  <si>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</si>
  <si>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</si>
  <si>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</si>
  <si>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</si>
  <si>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</si>
  <si>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</si>
  <si>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</si>
  <si>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</si>
  <si>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</si>
  <si>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</si>
  <si>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</si>
  <si>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</si>
  <si>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</si>
  <si>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</si>
  <si>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</si>
  <si>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</si>
  <si>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</si>
  <si>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</si>
  <si>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</si>
  <si>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</si>
  <si>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</si>
  <si>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</si>
  <si>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</si>
  <si>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</si>
  <si>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</si>
  <si>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</si>
  <si>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</si>
  <si>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</si>
  <si>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</si>
  <si>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</si>
  <si>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</si>
  <si>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</si>
  <si>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</si>
  <si>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</si>
  <si>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</si>
  <si>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</si>
  <si>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</si>
  <si>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</si>
  <si>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</si>
  <si>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</si>
  <si>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</si>
  <si>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</si>
  <si>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</si>
  <si>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</si>
  <si>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</si>
  <si>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</si>
  <si>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</si>
  <si>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</si>
  <si>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</si>
  <si>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</si>
  <si>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</si>
  <si>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</si>
  <si>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</si>
  <si>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</si>
  <si>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</si>
  <si>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</si>
  <si>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</si>
  <si>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</si>
  <si>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</si>
  <si>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</si>
  <si>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</si>
  <si>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</si>
  <si>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</si>
  <si>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</si>
  <si>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</si>
  <si>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</si>
  <si>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</si>
  <si>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</si>
  <si>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</si>
  <si>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</si>
  <si>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</si>
  <si>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</si>
  <si>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</si>
  <si>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</si>
  <si>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</si>
  <si>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</si>
  <si>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</si>
  <si>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</si>
  <si>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</si>
  <si>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</si>
  <si>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</si>
  <si>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</si>
  <si>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</si>
  <si>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</si>
  <si>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</si>
  <si>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</si>
  <si>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</si>
  <si>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</si>
  <si>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</si>
  <si>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</si>
  <si>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</si>
  <si>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</si>
  <si>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</si>
  <si>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</si>
  <si>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</si>
  <si>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</si>
  <si>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</si>
  <si>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</si>
  <si>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</si>
  <si>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</si>
  <si>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</si>
  <si>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</si>
  <si>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</si>
  <si>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</si>
  <si>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</si>
  <si>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</si>
  <si>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</si>
  <si>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</si>
  <si>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</si>
  <si>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</si>
  <si>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</si>
  <si>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</si>
  <si>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</si>
  <si>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</si>
  <si>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</si>
  <si>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</si>
  <si>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</si>
  <si>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</si>
  <si>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</si>
  <si>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</si>
  <si>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</si>
  <si>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</si>
  <si>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</si>
  <si>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</si>
  <si>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</si>
  <si>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</si>
  <si>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</si>
  <si>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</si>
  <si>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</si>
  <si>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</si>
  <si>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</si>
  <si>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</si>
  <si>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</si>
  <si>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</si>
  <si>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</si>
  <si>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</si>
  <si>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</si>
  <si>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</si>
  <si>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</si>
  <si>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</si>
  <si>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</si>
  <si>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</si>
  <si>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</si>
  <si>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</si>
  <si>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</si>
  <si>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</si>
  <si>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</si>
  <si>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</si>
  <si>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</si>
  <si>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</si>
  <si>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</si>
  <si>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</si>
  <si>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</si>
  <si>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</si>
  <si>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</si>
  <si>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</si>
  <si>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</si>
  <si>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</si>
  <si>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</si>
  <si>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</si>
  <si>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</si>
  <si>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</si>
  <si>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</si>
  <si>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</si>
  <si>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</si>
  <si>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</si>
  <si>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</si>
  <si>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</si>
  <si>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</si>
  <si>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</si>
  <si>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</si>
  <si>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</si>
  <si>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</si>
  <si>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</si>
  <si>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</si>
  <si>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</si>
  <si>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</si>
  <si>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</si>
  <si>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</si>
  <si>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</si>
  <si>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</si>
  <si>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</si>
  <si>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</si>
  <si>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</si>
  <si>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</si>
  <si>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</si>
  <si>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</si>
  <si>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</si>
  <si>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</si>
  <si>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</si>
  <si>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</si>
  <si>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</si>
  <si>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</si>
  <si>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</si>
  <si>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</si>
  <si>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</si>
  <si>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</si>
  <si>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</si>
  <si>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</si>
  <si>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</si>
  <si>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</si>
  <si>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</si>
  <si>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</si>
  <si>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</si>
  <si>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</si>
  <si>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</si>
  <si>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</si>
  <si>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</si>
  <si>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исполнено на 01.02.2019г.</t>
  </si>
  <si>
    <t>исполнено на 01.02.2019 г</t>
  </si>
  <si>
    <t>Водное хозяйство</t>
  </si>
  <si>
    <t xml:space="preserve">                     Анализ исполнения бюджета Ярославского сельского поселения на 01.03.2019 г.</t>
  </si>
  <si>
    <t>исполнен на 01.03.2019 г.</t>
  </si>
  <si>
    <t>исполнено на 01.03.2019 г.</t>
  </si>
  <si>
    <t>Анализ исполнения консолидированного бюджета Моргаушского районана 01.03.2019 г.</t>
  </si>
  <si>
    <t xml:space="preserve">                          Моргаушского района на 01.03.2019 г. </t>
  </si>
  <si>
    <t xml:space="preserve">исполнено на 01.03.2019 г. </t>
  </si>
  <si>
    <t xml:space="preserve">                     Анализ исполнения бюджета Александровского сельского поселения на 01.03.2019 г.</t>
  </si>
  <si>
    <t xml:space="preserve">                     Анализ исполнения бюджета Большесундырского сельского поселения на 01.03.2019 г.</t>
  </si>
  <si>
    <t xml:space="preserve">                     Анализ исполнения бюджета Ильинского сельского поселения на 01.03.2019 г.</t>
  </si>
  <si>
    <t xml:space="preserve">                     Анализ исполнения бюджета Кадикасинского сельского поселения на 01.03.2019 г.</t>
  </si>
  <si>
    <t xml:space="preserve">                     Анализ исполнения бюджета Моргаушского сельского поселения на 01.03.2019 г.</t>
  </si>
  <si>
    <t xml:space="preserve">                     Анализ исполнения бюджета Москакасинского сельского поселения на 01.03.2019 г.</t>
  </si>
  <si>
    <t xml:space="preserve">                     Анализ исполнения бюджета Орининского сельского поселения на 01.03.2019 г.</t>
  </si>
  <si>
    <t xml:space="preserve">                     Анализ исполнения бюджета Сятракасинского сельского поселения на 01.03.2019 г.</t>
  </si>
  <si>
    <t xml:space="preserve">                     Анализ исполнения бюджета Тораевского сельского поселения на 01.03.2019 г.</t>
  </si>
  <si>
    <t xml:space="preserve">                     Анализ исполнения бюджета Хорнойского сельского поселения на 01.03.2019 г.</t>
  </si>
  <si>
    <t xml:space="preserve">                     Анализ исполнения бюджета Чуманкасинского сельского поселения на 01.03.2019 г.</t>
  </si>
  <si>
    <t xml:space="preserve">                     Анализ исполнения бюджета Шатьмапосинского сельского поселения на 01.03.2019 г.</t>
  </si>
  <si>
    <t xml:space="preserve">                     Анализ исполнения бюджета Юнгинского сельского поселения на 01.03.2019 г.</t>
  </si>
  <si>
    <t xml:space="preserve">                     Анализ исполнения бюджета Юськасинского сельского поселения на 01.03.2019 г.</t>
  </si>
  <si>
    <t xml:space="preserve">                     Анализ исполнения бюджета Ярабайкасинского сельского поселения на 01.03.2019 г.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</si>
  <si>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</si>
  <si>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</si>
  <si>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</si>
  <si>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об исполнении бюджетов поселений  Моргаушского района  на 1 марта 2019 г.</t>
  </si>
</sst>
</file>

<file path=xl/styles.xml><?xml version="1.0" encoding="utf-8"?>
<styleSheet xmlns="http://schemas.openxmlformats.org/spreadsheetml/2006/main">
  <numFmts count="2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  <numFmt numFmtId="188" formatCode="_(* #,##0.000_);_(* \(#,##0.000\);_(* &quot;-&quot;??_);_(@_)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42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3" fillId="0" borderId="1" xfId="1" applyNumberFormat="1" applyFont="1" applyBorder="1" applyAlignment="1">
      <alignment horizontal="right" vertical="center"/>
    </xf>
    <xf numFmtId="168" fontId="5" fillId="0" borderId="1" xfId="11" applyNumberFormat="1" applyFont="1" applyFill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73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188" fontId="3" fillId="0" borderId="1" xfId="9" applyNumberFormat="1" applyFont="1" applyBorder="1" applyAlignment="1">
      <alignment horizontal="right" vertical="center"/>
    </xf>
    <xf numFmtId="176" fontId="3" fillId="0" borderId="1" xfId="6" applyNumberFormat="1" applyFont="1" applyBorder="1" applyAlignment="1">
      <alignment horizontal="right" vertical="center"/>
    </xf>
    <xf numFmtId="174" fontId="32" fillId="3" borderId="1" xfId="1" applyNumberFormat="1" applyFont="1" applyFill="1" applyBorder="1" applyAlignment="1">
      <alignment horizontal="right" vertical="center"/>
    </xf>
    <xf numFmtId="168" fontId="32" fillId="0" borderId="1" xfId="11" applyNumberFormat="1" applyFont="1" applyBorder="1" applyAlignment="1">
      <alignment horizontal="right" vertical="center"/>
    </xf>
    <xf numFmtId="168" fontId="33" fillId="0" borderId="1" xfId="11" applyNumberFormat="1" applyFont="1" applyFill="1" applyBorder="1" applyAlignment="1">
      <alignment horizontal="right" vertical="center"/>
    </xf>
    <xf numFmtId="168" fontId="33" fillId="0" borderId="1" xfId="11" applyNumberFormat="1" applyFont="1" applyBorder="1" applyAlignment="1">
      <alignment horizontal="right" vertical="center"/>
    </xf>
    <xf numFmtId="168" fontId="32" fillId="0" borderId="1" xfId="0" applyNumberFormat="1" applyFont="1" applyBorder="1" applyAlignment="1">
      <alignment horizontal="right" vertical="center"/>
    </xf>
    <xf numFmtId="168" fontId="33" fillId="3" borderId="1" xfId="12" applyNumberFormat="1" applyFont="1" applyFill="1" applyBorder="1" applyAlignment="1">
      <alignment horizontal="right" vertical="center"/>
    </xf>
    <xf numFmtId="168" fontId="33" fillId="3" borderId="1" xfId="11" applyNumberFormat="1" applyFont="1" applyFill="1" applyBorder="1" applyAlignment="1">
      <alignment horizontal="right" vertical="center"/>
    </xf>
    <xf numFmtId="178" fontId="32" fillId="5" borderId="1" xfId="12" applyNumberFormat="1" applyFont="1" applyFill="1" applyBorder="1" applyAlignment="1">
      <alignment horizontal="right" vertical="center"/>
    </xf>
    <xf numFmtId="168" fontId="32" fillId="0" borderId="1" xfId="9" applyNumberFormat="1" applyFont="1" applyBorder="1" applyAlignment="1">
      <alignment horizontal="right" vertical="center"/>
    </xf>
    <xf numFmtId="168" fontId="33" fillId="0" borderId="1" xfId="9" applyNumberFormat="1" applyFont="1" applyBorder="1" applyAlignment="1">
      <alignment horizontal="right" vertical="center"/>
    </xf>
    <xf numFmtId="168" fontId="33" fillId="0" borderId="1" xfId="9" applyNumberFormat="1" applyFont="1" applyBorder="1" applyAlignment="1">
      <alignment horizontal="right"/>
    </xf>
    <xf numFmtId="168" fontId="33" fillId="0" borderId="1" xfId="9" applyNumberFormat="1" applyFont="1" applyBorder="1" applyAlignment="1">
      <alignment horizontal="right" vertical="center" wrapText="1"/>
    </xf>
    <xf numFmtId="168" fontId="32" fillId="0" borderId="1" xfId="6" applyNumberFormat="1" applyFont="1" applyBorder="1" applyAlignment="1">
      <alignment horizontal="right" vertical="center"/>
    </xf>
    <xf numFmtId="168" fontId="33" fillId="0" borderId="1" xfId="6" applyNumberFormat="1" applyFont="1" applyBorder="1" applyAlignment="1">
      <alignment horizontal="right" vertical="center"/>
    </xf>
    <xf numFmtId="168" fontId="33" fillId="0" borderId="1" xfId="6" applyNumberFormat="1" applyFont="1" applyBorder="1" applyAlignment="1">
      <alignment horizontal="right"/>
    </xf>
    <xf numFmtId="168" fontId="32" fillId="5" borderId="1" xfId="9" applyNumberFormat="1" applyFont="1" applyFill="1" applyBorder="1" applyAlignment="1">
      <alignment horizontal="right" vertical="center"/>
    </xf>
    <xf numFmtId="168" fontId="33" fillId="2" borderId="1" xfId="5" applyNumberFormat="1" applyFont="1" applyFill="1" applyBorder="1" applyAlignment="1">
      <alignment horizontal="right" vertical="top" shrinkToFit="1"/>
    </xf>
    <xf numFmtId="168" fontId="32" fillId="0" borderId="1" xfId="12" applyNumberFormat="1" applyFont="1" applyBorder="1" applyAlignment="1">
      <alignment horizontal="right" vertical="center"/>
    </xf>
    <xf numFmtId="168" fontId="32" fillId="0" borderId="1" xfId="9" applyNumberFormat="1" applyFont="1" applyBorder="1" applyAlignment="1">
      <alignment horizontal="right"/>
    </xf>
    <xf numFmtId="168" fontId="32" fillId="5" borderId="1" xfId="12" applyNumberFormat="1" applyFont="1" applyFill="1" applyBorder="1" applyAlignment="1">
      <alignment horizontal="right" vertical="center"/>
    </xf>
    <xf numFmtId="188" fontId="3" fillId="0" borderId="1" xfId="11" applyNumberFormat="1" applyFont="1" applyBorder="1" applyAlignment="1">
      <alignment horizontal="right" vertical="center"/>
    </xf>
    <xf numFmtId="183" fontId="18" fillId="3" borderId="1" xfId="0" applyNumberFormat="1" applyFont="1" applyFill="1" applyBorder="1"/>
    <xf numFmtId="183" fontId="18" fillId="0" borderId="1" xfId="0" applyNumberFormat="1" applyFont="1" applyFill="1" applyBorder="1"/>
    <xf numFmtId="183" fontId="18" fillId="5" borderId="1" xfId="0" applyNumberFormat="1" applyFont="1" applyFill="1" applyBorder="1"/>
    <xf numFmtId="166" fontId="30" fillId="5" borderId="1" xfId="0" applyNumberFormat="1" applyFont="1" applyFill="1" applyBorder="1" applyAlignment="1">
      <alignment horizontal="center" vertical="center" wrapText="1"/>
    </xf>
    <xf numFmtId="175" fontId="29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66" fontId="38" fillId="0" borderId="1" xfId="6" applyNumberFormat="1" applyFont="1" applyBorder="1" applyAlignment="1">
      <alignment horizontal="right"/>
    </xf>
    <xf numFmtId="49" fontId="38" fillId="0" borderId="1" xfId="9" applyNumberFormat="1" applyFont="1" applyFill="1" applyBorder="1" applyAlignment="1" applyProtection="1">
      <alignment horizontal="center"/>
    </xf>
    <xf numFmtId="172" fontId="25" fillId="3" borderId="1" xfId="0" applyNumberFormat="1" applyFont="1" applyFill="1" applyBorder="1" applyAlignment="1">
      <alignment vertical="center" wrapText="1"/>
    </xf>
    <xf numFmtId="173" fontId="18" fillId="5" borderId="1" xfId="0" applyNumberFormat="1" applyFont="1" applyFill="1" applyBorder="1" applyAlignment="1">
      <alignment vertical="center" wrapText="1"/>
    </xf>
    <xf numFmtId="174" fontId="32" fillId="5" borderId="1" xfId="12" applyNumberFormat="1" applyFont="1" applyFill="1" applyBorder="1" applyAlignment="1">
      <alignment horizontal="right" vertical="center"/>
    </xf>
    <xf numFmtId="186" fontId="29" fillId="3" borderId="1" xfId="0" applyNumberFormat="1" applyFont="1" applyFill="1" applyBorder="1" applyAlignment="1">
      <alignment horizontal="center" vertical="center" wrapText="1"/>
    </xf>
    <xf numFmtId="168" fontId="29" fillId="3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01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87F4710-603C-4E05-98E6-21A1A49CEEFF}" diskRevisions="1" revisionId="35213" version="2">
  <header guid="{B87F4710-603C-4E05-98E6-21A1A49CEEFF}" dateTime="2019-05-10T13:00:20" maxSheetId="22" userName="1" r:id="rId1016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37D0E254_14A1_48DF_98B1_097427A51078_.wvu.PrintArea" hidden="1" oldHidden="1">
    <formula>Консол!$A$1:$K$50</formula>
  </rdn>
  <rdn rId="0" localSheetId="1" customView="1" name="Z_37D0E254_14A1_48DF_98B1_097427A51078_.wvu.Rows" hidden="1" oldHidden="1">
    <formula>Консол!$22:$22,Консол!$43:$45</formula>
  </rdn>
  <rdn rId="0" localSheetId="2" customView="1" name="Z_37D0E254_14A1_48DF_98B1_097427A51078_.wvu.PrintArea" hidden="1" oldHidden="1">
    <formula>Справка!$A$1:$EY$31</formula>
  </rdn>
  <rdn rId="0" localSheetId="2" customView="1" name="Z_37D0E254_14A1_48DF_98B1_097427A51078_.wvu.Rows" hidden="1" oldHidden="1">
    <formula>Справка!$33:$33</formula>
  </rdn>
  <rdn rId="0" localSheetId="2" customView="1" name="Z_37D0E254_14A1_48DF_98B1_097427A51078_.wvu.Cols" hidden="1" oldHidden="1">
    <formula>Справка!$AV:$AX,Справка!$BB:$BD,Справка!$BH:$BP,Справка!$BT:$BY,Справка!$CX:$DF</formula>
  </rdn>
  <rdn rId="0" localSheetId="3" customView="1" name="Z_37D0E254_14A1_48DF_98B1_097427A51078_.wvu.Rows" hidden="1" oldHidden="1">
    <formula>район!$17:$18,район!$20:$20,район!$27:$31,район!$35:$35,район!$38:$38,район!$50:$51,район!$62:$62,район!$75:$75,район!$82:$82,район!$99:$99,район!$105:$105,район!$133:$135,район!$138:$139</formula>
  </rdn>
  <rdn rId="0" localSheetId="4" customView="1" name="Z_37D0E254_14A1_48DF_98B1_097427A51078_.wvu.Rows" hidden="1" oldHidden="1">
    <formula>Але!$19:$24,Але!$28:$28,Але!$36:$36,Але!$46:$46,Але!$53:$53,Але!$55:$57,Але!$63:$64,Але!$74:$75,Але!$79:$83,Але!$86:$93,Але!$142:$142</formula>
  </rdn>
  <rdn rId="0" localSheetId="5" customView="1" name="Z_37D0E254_14A1_48DF_98B1_097427A51078_.wvu.PrintArea" hidden="1" oldHidden="1">
    <formula>Сун!$A$1:$F$104</formula>
  </rdn>
  <rdn rId="0" localSheetId="5" customView="1" name="Z_37D0E254_14A1_48DF_98B1_097427A51078_.wvu.Rows" hidden="1" oldHidden="1">
    <formula>Сун!$19:$24,Сун!$34:$36,Сун!$45:$45,Сун!$47:$47,Сун!$49:$51,Сун!$58:$58,Сун!$60:$62,Сун!$68:$69,Сун!$79:$80,Сун!$82:$82,Сун!$85:$85,Сун!$87:$89,Сун!$93:$100,Сун!$142:$142</formula>
  </rdn>
  <rdn rId="0" localSheetId="6" customView="1" name="Z_37D0E254_14A1_48DF_98B1_097427A51078_.wvu.PrintArea" hidden="1" oldHidden="1">
    <formula>Иль!$A$1:$F$104</formula>
  </rdn>
  <rdn rId="0" localSheetId="6" customView="1" name="Z_37D0E254_14A1_48DF_98B1_097427A51078_.wvu.Rows" hidden="1" oldHidden="1">
    <formula>Иль!$19:$24,Иль!$30:$39,Иль!$58:$58,Иль!$60:$62,Иль!$68:$69,Иль!$78:$79,Иль!$81:$81,Иль!$86:$90,Иль!$93:$100,Иль!$143:$143</formula>
  </rdn>
  <rdn rId="0" localSheetId="7" customView="1" name="Z_37D0E254_14A1_48DF_98B1_097427A51078_.wvu.Rows" hidden="1" oldHidden="1">
    <formula>Кад!$19:$24,Кад!$31:$35,Кад!$38:$38,Кад!$42:$42,Кад!$44:$44,Кад!$46:$46,Кад!$48:$49,Кад!$56:$56,Кад!$58:$60,Кад!$66:$67,Кад!$77:$78,Кад!$82:$86,Кад!$89:$96,Кад!$142:$142</formula>
  </rdn>
  <rdn rId="0" localSheetId="8" customView="1" name="Z_37D0E254_14A1_48DF_98B1_097427A51078_.wvu.PrintArea" hidden="1" oldHidden="1">
    <formula>Мор!$A$1:$F$101</formula>
  </rdn>
  <rdn rId="0" localSheetId="8" customView="1" name="Z_37D0E254_14A1_48DF_98B1_097427A51078_.wvu.Rows" hidden="1" oldHidden="1">
    <formula>Мор!$17:$24,Мор!$27:$27,Мор!$31:$33,Мор!$44:$44,Мор!$46:$47,Мор!$49:$50,Мор!$57:$57,Мор!$59:$60,Мор!$64:$65,Мор!$67:$68,Мор!$78:$79,Мор!$83:$88,Мор!$91:$97,Мор!$142:$142</formula>
  </rdn>
  <rdn rId="0" localSheetId="9" customView="1" name="Z_37D0E254_14A1_48DF_98B1_097427A51078_.wvu.Rows" hidden="1" oldHidden="1">
    <formula>Мос!$19:$24,Мос!$29:$35,Мос!$44:$44,Мос!$58:$58,Мос!$60:$61,Мос!$68:$69,Мос!$79:$80,Мос!$82:$82,Мос!$85:$92,Мос!$95:$102,Мос!$143:$143</formula>
  </rdn>
  <rdn rId="0" localSheetId="10" customView="1" name="Z_37D0E254_14A1_48DF_98B1_097427A51078_.wvu.Rows" hidden="1" oldHidden="1">
    <formula>Ори!$19:$24,Ори!$31:$35,Ори!$44:$44,Ори!$46:$46,Ори!$48:$50,Ори!$57:$57,Ори!$59:$60,Ори!$67:$68,Ори!$78:$79,Ори!$81:$81,Ори!$84:$88,Ори!$91:$98,Ори!$142:$142</formula>
  </rdn>
  <rdn rId="0" localSheetId="11" customView="1" name="Z_37D0E254_14A1_48DF_98B1_097427A51078_.wvu.Rows" hidden="1" oldHidden="1">
    <formula>Сят!$19:$24,Сят!$31:$33,Сят!$38:$38,Сят!$45:$48,Сят!$57:$57,Сят!$59:$60,Сят!$67:$68,Сят!$78:$79,Сят!$83:$87,Сят!$90:$97,Сят!$143:$143</formula>
  </rdn>
  <rdn rId="0" localSheetId="12" customView="1" name="Z_37D0E254_14A1_48DF_98B1_097427A51078_.wvu.PrintArea" hidden="1" oldHidden="1">
    <formula>Тор!$A$1:$F$102</formula>
  </rdn>
  <rdn rId="0" localSheetId="12" customView="1" name="Z_37D0E254_14A1_48DF_98B1_097427A51078_.wvu.Rows" hidden="1" oldHidden="1">
    <formula>Тор!$19:$24,Тор!$32:$36,Тор!$39:$39,Тор!$50:$50,Тор!$57:$57,Тор!$59:$60,Тор!$67:$68,Тор!$75:$75,Тор!$79:$80,Тор!$86:$87,Тор!$90:$96,Тор!$143:$143</formula>
  </rdn>
  <rdn rId="0" localSheetId="13" customView="1" name="Z_37D0E254_14A1_48DF_98B1_097427A51078_.wvu.Rows" hidden="1" oldHidden="1">
    <formula>Хор!$19:$24,Хор!$28:$36,Хор!$40:$40,Хор!$44:$44,Хор!$46:$48,Хор!$55:$55,Хор!$57:$59,Хор!$65:$66,Хор!$76:$77,Хор!$81:$85,Хор!$88:$95,Хор!$142:$142</formula>
  </rdn>
  <rdn rId="0" localSheetId="14" customView="1" name="Z_37D0E254_14A1_48DF_98B1_097427A51078_.wvu.Rows" hidden="1" oldHidden="1">
    <formula>Чум!$19:$24,Чум!$31:$36,Чум!$46:$49,Чум!$57:$57,Чум!$59:$61,Чум!$67:$68,Чум!$78:$79,Чум!$83:$87,Чум!$90:$97,Чум!$142:$142</formula>
  </rdn>
  <rdn rId="0" localSheetId="15" customView="1" name="Z_37D0E254_14A1_48DF_98B1_097427A51078_.wvu.Rows" hidden="1" oldHidden="1">
    <formula>Шать!$19:$25,Шать!$31:$33,Шать!$46:$49,Шать!$57:$57,Шать!$59:$60,Шать!$67:$68,Шать!$78:$79,Шать!$84:$86,Шать!$90:$97,Шать!$142:$142</formula>
  </rdn>
  <rdn rId="0" localSheetId="16" customView="1" name="Z_37D0E254_14A1_48DF_98B1_097427A51078_.wvu.PrintArea" hidden="1" oldHidden="1">
    <formula>Юнг!$A$1:$F$100</formula>
  </rdn>
  <rdn rId="0" localSheetId="16" customView="1" name="Z_37D0E254_14A1_48DF_98B1_097427A51078_.wvu.Rows" hidden="1" oldHidden="1">
    <formula>Юнг!$19:$24,Юнг!$38:$38,Юнг!$46:$46,Юнг!$56:$56,Юнг!$58:$60,Юнг!$66:$67,Юнг!$77:$78,Юнг!$82:$86,Юнг!$89:$96,Юнг!$142:$142</formula>
  </rdn>
  <rdn rId="0" localSheetId="17" customView="1" name="Z_37D0E254_14A1_48DF_98B1_097427A51078_.wvu.Rows" hidden="1" oldHidden="1">
    <formula>Юсь!$19:$24,Юсь!$31:$33,Юсь!$36:$36,Юсь!$44:$50,Юсь!$58:$58,Юсь!$60:$61,Юсь!$68:$69,Юсь!$79:$80,Юсь!$84:$88,Юсь!$91:$98,Юсь!$142:$142</formula>
  </rdn>
  <rdn rId="0" localSheetId="18" customView="1" name="Z_37D0E254_14A1_48DF_98B1_097427A51078_.wvu.PrintArea" hidden="1" oldHidden="1">
    <formula>Яра!$A$1:$F$102</formula>
  </rdn>
  <rdn rId="0" localSheetId="18" customView="1" name="Z_37D0E254_14A1_48DF_98B1_097427A51078_.wvu.Rows" hidden="1" oldHidden="1">
    <formula>Яра!$19:$24,Яра!$46:$50,Яра!$58:$58,Яра!$60:$62,Яра!$68:$69,Яра!$79:$80,Яра!$84:$88,Яра!$91:$98,Яра!$143:$143</formula>
  </rdn>
  <rdn rId="0" localSheetId="19" customView="1" name="Z_37D0E254_14A1_48DF_98B1_097427A51078_.wvu.Rows" hidden="1" oldHidden="1">
    <formula>Яро!$19:$24,Яро!$28:$28,Яро!$43:$43,Яро!$54:$54,Яро!$56:$58,Яро!$64:$65,Яро!$75:$75,Яро!$82:$84,Яро!$87:$90,Яро!$92:$94</formula>
  </rdn>
  <rdn rId="0" localSheetId="20" customView="1" name="Z_37D0E254_14A1_48DF_98B1_097427A51078_.wvu.Rows" hidden="1" oldHidden="1">
    <formula>Лист1!$82:$84</formula>
  </rdn>
  <rcv guid="{37D0E254-14A1-48DF-98B1-097427A51078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4" Type="http://schemas.openxmlformats.org/officeDocument/2006/relationships/printerSettings" Target="../printerSettings/printerSettings19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Normal="100" zoomScaleSheetLayoutView="80" workbookViewId="0">
      <selection activeCell="D28" sqref="D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501" t="s">
        <v>419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123"/>
      <c r="M1" s="123"/>
      <c r="N1" s="123"/>
      <c r="O1" s="123"/>
    </row>
    <row r="2" spans="1:15" ht="33.75" customHeight="1">
      <c r="A2" s="499" t="s">
        <v>181</v>
      </c>
      <c r="B2" s="500" t="s">
        <v>182</v>
      </c>
      <c r="C2" s="496" t="s">
        <v>183</v>
      </c>
      <c r="D2" s="497"/>
      <c r="E2" s="497"/>
      <c r="F2" s="496" t="s">
        <v>184</v>
      </c>
      <c r="G2" s="497"/>
      <c r="H2" s="497"/>
      <c r="I2" s="496" t="s">
        <v>185</v>
      </c>
      <c r="J2" s="497"/>
      <c r="K2" s="502"/>
    </row>
    <row r="3" spans="1:15" ht="53.25" customHeight="1">
      <c r="A3" s="499"/>
      <c r="B3" s="500"/>
      <c r="C3" s="78" t="s">
        <v>411</v>
      </c>
      <c r="D3" s="78" t="s">
        <v>418</v>
      </c>
      <c r="E3" s="138" t="s">
        <v>332</v>
      </c>
      <c r="F3" s="78" t="s">
        <v>411</v>
      </c>
      <c r="G3" s="78" t="s">
        <v>418</v>
      </c>
      <c r="H3" s="138" t="s">
        <v>332</v>
      </c>
      <c r="I3" s="78" t="s">
        <v>411</v>
      </c>
      <c r="J3" s="78" t="s">
        <v>418</v>
      </c>
      <c r="K3" s="78" t="s">
        <v>332</v>
      </c>
    </row>
    <row r="4" spans="1:15" s="80" customFormat="1" ht="30.75" customHeight="1">
      <c r="A4" s="79" t="s">
        <v>5</v>
      </c>
      <c r="B4" s="76"/>
      <c r="C4" s="303">
        <f>SUM(C5:C13)</f>
        <v>169771.005</v>
      </c>
      <c r="D4" s="303">
        <f>SUM(D5:D13)</f>
        <v>22729.664500000003</v>
      </c>
      <c r="E4" s="303">
        <f>D4/C4*100</f>
        <v>13.388425485258807</v>
      </c>
      <c r="F4" s="303">
        <f>SUM(F5:F13)</f>
        <v>133077.39000000001</v>
      </c>
      <c r="G4" s="303">
        <f>SUM(G5:G13)</f>
        <v>19001.930910000003</v>
      </c>
      <c r="H4" s="303">
        <f>G4/F4*100</f>
        <v>14.27885752042477</v>
      </c>
      <c r="I4" s="303">
        <f>I5+I7+I6+I8+I10+I11+I12+I13</f>
        <v>36693.614999999998</v>
      </c>
      <c r="J4" s="303">
        <f>J5+J6+J7+J8+J10+J11+J12+J13</f>
        <v>3727.7335900000003</v>
      </c>
      <c r="K4" s="303">
        <f>J4/I4*100</f>
        <v>10.159079692747635</v>
      </c>
    </row>
    <row r="5" spans="1:15" ht="27" customHeight="1">
      <c r="A5" s="81" t="s">
        <v>186</v>
      </c>
      <c r="B5" s="77">
        <v>10102</v>
      </c>
      <c r="C5" s="304">
        <f t="shared" ref="C5:D8" si="0">F5+I5</f>
        <v>116004</v>
      </c>
      <c r="D5" s="304">
        <f t="shared" si="0"/>
        <v>15847.435669999999</v>
      </c>
      <c r="E5" s="305">
        <f t="shared" ref="E5:E12" si="1">D5/C5*100</f>
        <v>13.661111401330988</v>
      </c>
      <c r="F5" s="304">
        <f>район!C5</f>
        <v>110707.3</v>
      </c>
      <c r="G5" s="304">
        <f>район!D5</f>
        <v>15114.433499999999</v>
      </c>
      <c r="H5" s="305">
        <f t="shared" ref="H5:H41" si="2">G5/F5*100</f>
        <v>13.652607822609708</v>
      </c>
      <c r="I5" s="304">
        <f>Справка!I31</f>
        <v>5296.6999999999989</v>
      </c>
      <c r="J5" s="304">
        <f>Справка!J31</f>
        <v>733.00216999999998</v>
      </c>
      <c r="K5" s="305">
        <f t="shared" ref="K5:K12" si="3">J5/I5*100</f>
        <v>13.838846262767385</v>
      </c>
    </row>
    <row r="6" spans="1:15" ht="41.25" customHeight="1">
      <c r="A6" s="81" t="s">
        <v>284</v>
      </c>
      <c r="B6" s="77">
        <v>10300</v>
      </c>
      <c r="C6" s="304">
        <f t="shared" si="0"/>
        <v>12565.805</v>
      </c>
      <c r="D6" s="304">
        <f t="shared" si="0"/>
        <v>2559.82816</v>
      </c>
      <c r="E6" s="305">
        <f t="shared" si="1"/>
        <v>20.37138217567438</v>
      </c>
      <c r="F6" s="304">
        <f>район!C7</f>
        <v>4391.8900000000003</v>
      </c>
      <c r="G6" s="304">
        <f>район!D7</f>
        <v>894.68868999999995</v>
      </c>
      <c r="H6" s="305">
        <f t="shared" si="2"/>
        <v>20.371382024595331</v>
      </c>
      <c r="I6" s="304">
        <f>Справка!L31+Справка!R31+Справка!O31</f>
        <v>8173.915</v>
      </c>
      <c r="J6" s="304">
        <f>Справка!M31+Справка!S31+Справка!P31+Справка!V31</f>
        <v>1665.1394700000003</v>
      </c>
      <c r="K6" s="305">
        <f t="shared" si="3"/>
        <v>20.371382256849994</v>
      </c>
    </row>
    <row r="7" spans="1:15" ht="19.5" customHeight="1">
      <c r="A7" s="81" t="s">
        <v>187</v>
      </c>
      <c r="B7" s="77">
        <v>10500</v>
      </c>
      <c r="C7" s="304">
        <f t="shared" si="0"/>
        <v>12698.2</v>
      </c>
      <c r="D7" s="304">
        <f t="shared" si="0"/>
        <v>2487.3827000000001</v>
      </c>
      <c r="E7" s="305">
        <f t="shared" si="1"/>
        <v>19.588466869320062</v>
      </c>
      <c r="F7" s="304">
        <f>район!C12</f>
        <v>12228.2</v>
      </c>
      <c r="G7" s="304">
        <f>район!D12</f>
        <v>2464.4956299999999</v>
      </c>
      <c r="H7" s="305">
        <f t="shared" si="2"/>
        <v>20.154197919562975</v>
      </c>
      <c r="I7" s="304">
        <f>Справка!X31</f>
        <v>470</v>
      </c>
      <c r="J7" s="304">
        <f>Справка!Y31</f>
        <v>22.887069999999998</v>
      </c>
      <c r="K7" s="305">
        <f t="shared" si="3"/>
        <v>4.8695893617021273</v>
      </c>
    </row>
    <row r="8" spans="1:15" ht="19.5" customHeight="1">
      <c r="A8" s="81" t="s">
        <v>188</v>
      </c>
      <c r="B8" s="77">
        <v>10601</v>
      </c>
      <c r="C8" s="304">
        <f t="shared" si="0"/>
        <v>5031</v>
      </c>
      <c r="D8" s="304">
        <f t="shared" si="0"/>
        <v>150.52558000000002</v>
      </c>
      <c r="E8" s="305">
        <f t="shared" si="1"/>
        <v>2.9919614390777185</v>
      </c>
      <c r="F8" s="304"/>
      <c r="G8" s="304"/>
      <c r="H8" s="305"/>
      <c r="I8" s="304">
        <f>Справка!AA31</f>
        <v>5031</v>
      </c>
      <c r="J8" s="304">
        <f>Справка!AB31</f>
        <v>150.52558000000002</v>
      </c>
      <c r="K8" s="305">
        <f t="shared" si="3"/>
        <v>2.9919614390777185</v>
      </c>
    </row>
    <row r="9" spans="1:15" ht="19.5" customHeight="1">
      <c r="A9" s="81" t="s">
        <v>285</v>
      </c>
      <c r="B9" s="77">
        <v>10604</v>
      </c>
      <c r="C9" s="304">
        <f>F9</f>
        <v>2050</v>
      </c>
      <c r="D9" s="304">
        <f>G9</f>
        <v>147.60910999999999</v>
      </c>
      <c r="E9" s="305">
        <f t="shared" si="1"/>
        <v>7.2004443902439013</v>
      </c>
      <c r="F9" s="304">
        <f>район!C16</f>
        <v>2050</v>
      </c>
      <c r="G9" s="304">
        <f>район!D19</f>
        <v>147.60910999999999</v>
      </c>
      <c r="H9" s="305">
        <f t="shared" si="2"/>
        <v>7.2004443902439013</v>
      </c>
      <c r="I9" s="304"/>
      <c r="J9" s="304"/>
      <c r="K9" s="305"/>
    </row>
    <row r="10" spans="1:15" ht="19.5" customHeight="1">
      <c r="A10" s="81" t="s">
        <v>189</v>
      </c>
      <c r="B10" s="77">
        <v>10606</v>
      </c>
      <c r="C10" s="304">
        <f t="shared" ref="C10:D13" si="4">F10+I10</f>
        <v>17575</v>
      </c>
      <c r="D10" s="304">
        <f t="shared" si="4"/>
        <v>1141.7192999999997</v>
      </c>
      <c r="E10" s="305">
        <f t="shared" si="1"/>
        <v>6.4962691322901831</v>
      </c>
      <c r="F10" s="304"/>
      <c r="G10" s="304"/>
      <c r="H10" s="305">
        <v>0</v>
      </c>
      <c r="I10" s="304">
        <f>Справка!AD31</f>
        <v>17575</v>
      </c>
      <c r="J10" s="304">
        <f>Справка!AE31</f>
        <v>1141.7192999999997</v>
      </c>
      <c r="K10" s="305">
        <f t="shared" si="3"/>
        <v>6.4962691322901831</v>
      </c>
    </row>
    <row r="11" spans="1:15" ht="33.75" customHeight="1">
      <c r="A11" s="81" t="s">
        <v>190</v>
      </c>
      <c r="B11" s="77">
        <v>10701</v>
      </c>
      <c r="C11" s="304">
        <f t="shared" si="4"/>
        <v>1000</v>
      </c>
      <c r="D11" s="304">
        <f t="shared" si="4"/>
        <v>12.452159999999999</v>
      </c>
      <c r="E11" s="305">
        <f t="shared" si="1"/>
        <v>1.2452159999999999</v>
      </c>
      <c r="F11" s="304">
        <f>район!C21</f>
        <v>1000</v>
      </c>
      <c r="G11" s="304">
        <f>район!D21</f>
        <v>12.452159999999999</v>
      </c>
      <c r="H11" s="305">
        <f t="shared" si="2"/>
        <v>1.2452159999999999</v>
      </c>
      <c r="I11" s="304"/>
      <c r="J11" s="304"/>
      <c r="K11" s="305">
        <v>0</v>
      </c>
    </row>
    <row r="12" spans="1:15" ht="19.5" customHeight="1">
      <c r="A12" s="81" t="s">
        <v>191</v>
      </c>
      <c r="B12" s="77">
        <v>10800</v>
      </c>
      <c r="C12" s="304">
        <f t="shared" si="4"/>
        <v>2847</v>
      </c>
      <c r="D12" s="304">
        <f t="shared" si="4"/>
        <v>382.71181999999999</v>
      </c>
      <c r="E12" s="305">
        <f t="shared" si="1"/>
        <v>13.442635054443272</v>
      </c>
      <c r="F12" s="304">
        <f>район!C23</f>
        <v>2700</v>
      </c>
      <c r="G12" s="304">
        <f>район!D23</f>
        <v>368.25182000000001</v>
      </c>
      <c r="H12" s="305">
        <f t="shared" si="2"/>
        <v>13.638956296296298</v>
      </c>
      <c r="I12" s="304">
        <f>Справка!AG31</f>
        <v>147</v>
      </c>
      <c r="J12" s="304">
        <f>Справка!AH31</f>
        <v>14.459999999999997</v>
      </c>
      <c r="K12" s="305">
        <f t="shared" si="3"/>
        <v>9.8367346938775491</v>
      </c>
    </row>
    <row r="13" spans="1:15" ht="19.5" customHeight="1">
      <c r="A13" s="81" t="s">
        <v>192</v>
      </c>
      <c r="B13" s="77">
        <v>10900</v>
      </c>
      <c r="C13" s="304">
        <f t="shared" si="4"/>
        <v>0</v>
      </c>
      <c r="D13" s="304">
        <f t="shared" si="4"/>
        <v>0</v>
      </c>
      <c r="E13" s="305"/>
      <c r="F13" s="304">
        <f>район!C27</f>
        <v>0</v>
      </c>
      <c r="G13" s="304">
        <f>район!D27</f>
        <v>0</v>
      </c>
      <c r="H13" s="305"/>
      <c r="I13" s="304">
        <f>Справка!AJ31</f>
        <v>0</v>
      </c>
      <c r="J13" s="304">
        <f>Справка!AK31</f>
        <v>0</v>
      </c>
      <c r="K13" s="305"/>
    </row>
    <row r="14" spans="1:15" s="80" customFormat="1" ht="27" customHeight="1">
      <c r="A14" s="79" t="s">
        <v>13</v>
      </c>
      <c r="B14" s="76"/>
      <c r="C14" s="303">
        <f>SUM(C15:C21)</f>
        <v>30602.512269999999</v>
      </c>
      <c r="D14" s="303">
        <f>SUM(D15:D21)</f>
        <v>3624.99874</v>
      </c>
      <c r="E14" s="303">
        <f t="shared" ref="E14:E39" si="5">D14/C14*100</f>
        <v>11.845428597552198</v>
      </c>
      <c r="F14" s="303">
        <f>F15+F16+F17+F18+F20+F21+F19</f>
        <v>28011.599999999999</v>
      </c>
      <c r="G14" s="303">
        <f>G15+G16+G17+G18+G20+G21+G19</f>
        <v>3364.31041</v>
      </c>
      <c r="H14" s="303">
        <f t="shared" si="2"/>
        <v>12.010418576589698</v>
      </c>
      <c r="I14" s="306">
        <f>I15+I16+I17+I18+I20+I21+I26</f>
        <v>2590.9122700000003</v>
      </c>
      <c r="J14" s="306">
        <f>J15+J16+J17+J18+J20+J21+J26</f>
        <v>260.68833000000001</v>
      </c>
      <c r="K14" s="303">
        <f>J14/I14*100</f>
        <v>10.061642496293398</v>
      </c>
    </row>
    <row r="15" spans="1:15" ht="52.5" customHeight="1">
      <c r="A15" s="81" t="s">
        <v>193</v>
      </c>
      <c r="B15" s="77">
        <v>11100</v>
      </c>
      <c r="C15" s="304">
        <f t="shared" ref="C15:D22" si="6">F15+I15</f>
        <v>13366.7</v>
      </c>
      <c r="D15" s="304">
        <f t="shared" si="6"/>
        <v>2430.3663299999998</v>
      </c>
      <c r="E15" s="304">
        <f t="shared" si="5"/>
        <v>18.182246403375551</v>
      </c>
      <c r="F15" s="304">
        <f>район!C33</f>
        <v>11511.6</v>
      </c>
      <c r="G15" s="304">
        <f>район!D33</f>
        <v>2290.82267</v>
      </c>
      <c r="H15" s="304">
        <f t="shared" si="2"/>
        <v>19.900123961916673</v>
      </c>
      <c r="I15" s="304">
        <f>Справка!AP31+Справка!AS31+Справка!AM31</f>
        <v>1855.1000000000001</v>
      </c>
      <c r="J15" s="304">
        <f>Справка!AQ31+Справка!AT31+Справка!AN31</f>
        <v>139.54365999999999</v>
      </c>
      <c r="K15" s="305">
        <f>J15/I15*100</f>
        <v>7.5221637647566162</v>
      </c>
    </row>
    <row r="16" spans="1:15" ht="33" customHeight="1">
      <c r="A16" s="81" t="s">
        <v>194</v>
      </c>
      <c r="B16" s="77">
        <v>11200</v>
      </c>
      <c r="C16" s="304">
        <f t="shared" si="6"/>
        <v>600</v>
      </c>
      <c r="D16" s="304">
        <f t="shared" si="6"/>
        <v>236.94937999999999</v>
      </c>
      <c r="E16" s="304">
        <f t="shared" si="5"/>
        <v>39.491563333333332</v>
      </c>
      <c r="F16" s="304">
        <f>район!C42</f>
        <v>600</v>
      </c>
      <c r="G16" s="304">
        <f>район!D42</f>
        <v>236.94937999999999</v>
      </c>
      <c r="H16" s="304">
        <f t="shared" si="2"/>
        <v>39.491563333333332</v>
      </c>
      <c r="I16" s="304">
        <v>0</v>
      </c>
      <c r="J16" s="304">
        <v>0</v>
      </c>
      <c r="K16" s="305">
        <v>0</v>
      </c>
    </row>
    <row r="17" spans="1:13" ht="33" customHeight="1">
      <c r="A17" s="81" t="s">
        <v>195</v>
      </c>
      <c r="B17" s="77">
        <v>11300</v>
      </c>
      <c r="C17" s="304">
        <f t="shared" si="6"/>
        <v>130</v>
      </c>
      <c r="D17" s="304">
        <f t="shared" si="6"/>
        <v>94.476870000000005</v>
      </c>
      <c r="E17" s="304">
        <f>D17/C17*100</f>
        <v>72.67451538461539</v>
      </c>
      <c r="F17" s="304">
        <f>район!C44</f>
        <v>0</v>
      </c>
      <c r="G17" s="304">
        <f>район!D44</f>
        <v>13.960789999999999</v>
      </c>
      <c r="H17" s="304" t="e">
        <f t="shared" si="2"/>
        <v>#DIV/0!</v>
      </c>
      <c r="I17" s="304">
        <f>Справка!AY31</f>
        <v>130</v>
      </c>
      <c r="J17" s="304">
        <f>Справка!AZ31</f>
        <v>80.516080000000002</v>
      </c>
      <c r="K17" s="305">
        <f>J17/I17*100</f>
        <v>61.935446153846151</v>
      </c>
    </row>
    <row r="18" spans="1:13" ht="33" customHeight="1">
      <c r="A18" s="81" t="s">
        <v>196</v>
      </c>
      <c r="B18" s="77">
        <v>11400</v>
      </c>
      <c r="C18" s="304">
        <f t="shared" si="6"/>
        <v>10905.81227</v>
      </c>
      <c r="D18" s="304">
        <f t="shared" si="6"/>
        <v>61.399130000000014</v>
      </c>
      <c r="E18" s="304">
        <f t="shared" si="5"/>
        <v>0.56299456179800911</v>
      </c>
      <c r="F18" s="304">
        <f>район!C47</f>
        <v>10300</v>
      </c>
      <c r="G18" s="304">
        <f>район!D47</f>
        <v>55.000130000000013</v>
      </c>
      <c r="H18" s="304">
        <f t="shared" si="2"/>
        <v>0.53398184466019427</v>
      </c>
      <c r="I18" s="304">
        <f>Справка!BE31</f>
        <v>605.81227000000001</v>
      </c>
      <c r="J18" s="304">
        <f>Справка!BF31</f>
        <v>6.399</v>
      </c>
      <c r="K18" s="305">
        <f>J18/I18*100</f>
        <v>1.0562678104885528</v>
      </c>
    </row>
    <row r="19" spans="1:13" ht="23.25" customHeight="1">
      <c r="A19" s="81" t="s">
        <v>251</v>
      </c>
      <c r="B19" s="77">
        <v>11500</v>
      </c>
      <c r="C19" s="304">
        <f t="shared" si="6"/>
        <v>0</v>
      </c>
      <c r="D19" s="304">
        <f t="shared" si="6"/>
        <v>0</v>
      </c>
      <c r="E19" s="304"/>
      <c r="F19" s="304">
        <f>район!C50</f>
        <v>0</v>
      </c>
      <c r="G19" s="304">
        <f>район!D50</f>
        <v>0</v>
      </c>
      <c r="H19" s="304"/>
      <c r="I19" s="304"/>
      <c r="J19" s="304"/>
      <c r="K19" s="305"/>
    </row>
    <row r="20" spans="1:13" ht="22.5" customHeight="1">
      <c r="A20" s="81" t="s">
        <v>197</v>
      </c>
      <c r="B20" s="77">
        <v>11600</v>
      </c>
      <c r="C20" s="304">
        <f t="shared" si="6"/>
        <v>5600</v>
      </c>
      <c r="D20" s="304">
        <f t="shared" si="6"/>
        <v>806.45703000000003</v>
      </c>
      <c r="E20" s="304">
        <f t="shared" si="5"/>
        <v>14.401018392857143</v>
      </c>
      <c r="F20" s="304">
        <f>район!C52</f>
        <v>5600</v>
      </c>
      <c r="G20" s="304">
        <f>район!D52</f>
        <v>767.57744000000002</v>
      </c>
      <c r="H20" s="304">
        <f t="shared" si="2"/>
        <v>13.70674</v>
      </c>
      <c r="I20" s="304">
        <f>Справка!BN31</f>
        <v>0</v>
      </c>
      <c r="J20" s="304">
        <f>Справка!BO31</f>
        <v>38.87959</v>
      </c>
      <c r="K20" s="305">
        <v>0</v>
      </c>
    </row>
    <row r="21" spans="1:13" ht="31.5" customHeight="1">
      <c r="A21" s="81" t="s">
        <v>198</v>
      </c>
      <c r="B21" s="77">
        <v>11700</v>
      </c>
      <c r="C21" s="304">
        <f t="shared" si="6"/>
        <v>0</v>
      </c>
      <c r="D21" s="304">
        <f t="shared" si="6"/>
        <v>-4.6500000000000004</v>
      </c>
      <c r="E21" s="304"/>
      <c r="F21" s="304">
        <f>район!C69</f>
        <v>0</v>
      </c>
      <c r="G21" s="304">
        <f>район!D69</f>
        <v>0</v>
      </c>
      <c r="H21" s="304"/>
      <c r="I21" s="304">
        <f>Справка!BQ31</f>
        <v>0</v>
      </c>
      <c r="J21" s="304">
        <f>Справка!BR31</f>
        <v>-4.6500000000000004</v>
      </c>
      <c r="K21" s="305">
        <v>0</v>
      </c>
    </row>
    <row r="22" spans="1:13" ht="45.75" hidden="1" customHeight="1">
      <c r="A22" s="79" t="s">
        <v>199</v>
      </c>
      <c r="B22" s="76">
        <v>30000</v>
      </c>
      <c r="C22" s="303">
        <f t="shared" si="6"/>
        <v>0</v>
      </c>
      <c r="D22" s="303">
        <f t="shared" si="6"/>
        <v>0</v>
      </c>
      <c r="E22" s="303"/>
      <c r="F22" s="303">
        <v>0</v>
      </c>
      <c r="G22" s="303">
        <v>0</v>
      </c>
      <c r="H22" s="303"/>
      <c r="I22" s="303">
        <v>0</v>
      </c>
      <c r="J22" s="303">
        <v>0</v>
      </c>
      <c r="K22" s="303"/>
    </row>
    <row r="23" spans="1:13" ht="36.75" customHeight="1">
      <c r="A23" s="79" t="s">
        <v>19</v>
      </c>
      <c r="B23" s="76">
        <v>10000</v>
      </c>
      <c r="C23" s="306">
        <f>SUM(C4,C14,C22,)</f>
        <v>200373.51727000001</v>
      </c>
      <c r="D23" s="306">
        <f>SUM(D4,D14,)</f>
        <v>26354.663240000002</v>
      </c>
      <c r="E23" s="303">
        <f t="shared" si="5"/>
        <v>13.15276769059632</v>
      </c>
      <c r="F23" s="494">
        <f>SUM(F4,F14,)</f>
        <v>161088.99000000002</v>
      </c>
      <c r="G23" s="495">
        <f>SUM(G4,G14,G22)</f>
        <v>22366.241320000001</v>
      </c>
      <c r="H23" s="303">
        <f t="shared" si="2"/>
        <v>13.884400988546764</v>
      </c>
      <c r="I23" s="495">
        <f>I4+I14</f>
        <v>39284.527269999999</v>
      </c>
      <c r="J23" s="495">
        <f>J4+J14</f>
        <v>3988.4219200000002</v>
      </c>
      <c r="K23" s="303">
        <f>J23/I23*100</f>
        <v>10.15265346732528</v>
      </c>
    </row>
    <row r="24" spans="1:13" ht="33" customHeight="1">
      <c r="A24" s="79" t="s">
        <v>200</v>
      </c>
      <c r="B24" s="76">
        <v>20200</v>
      </c>
      <c r="C24" s="307">
        <v>555237.09028999996</v>
      </c>
      <c r="D24" s="307">
        <v>27893.89676</v>
      </c>
      <c r="E24" s="306">
        <f t="shared" si="5"/>
        <v>5.0237812364860277</v>
      </c>
      <c r="F24" s="494">
        <f>район!C73</f>
        <v>579227.79028999992</v>
      </c>
      <c r="G24" s="306">
        <f>район!D73</f>
        <v>30434.266080000001</v>
      </c>
      <c r="H24" s="303">
        <f t="shared" si="2"/>
        <v>5.2542827865290418</v>
      </c>
      <c r="I24" s="306">
        <f>Справка!BZ31</f>
        <v>75046.587490000005</v>
      </c>
      <c r="J24" s="306">
        <f>Справка!CA31</f>
        <v>5928.4806800000015</v>
      </c>
      <c r="K24" s="303">
        <f t="shared" ref="K24:K38" si="7">J24/I24*100</f>
        <v>7.8997338563728494</v>
      </c>
    </row>
    <row r="25" spans="1:13" ht="33" customHeight="1">
      <c r="A25" s="79" t="s">
        <v>303</v>
      </c>
      <c r="B25" s="76">
        <v>20700</v>
      </c>
      <c r="C25" s="308">
        <f>F25+I25</f>
        <v>3315.424</v>
      </c>
      <c r="D25" s="308">
        <f>G25+J25</f>
        <v>856.91468000000009</v>
      </c>
      <c r="E25" s="306">
        <f t="shared" si="5"/>
        <v>25.84630744061695</v>
      </c>
      <c r="F25" s="306"/>
      <c r="G25" s="306"/>
      <c r="H25" s="303"/>
      <c r="I25" s="306">
        <f>Справка!CR31</f>
        <v>3315.424</v>
      </c>
      <c r="J25" s="306">
        <f>Справка!CS31</f>
        <v>856.91468000000009</v>
      </c>
      <c r="K25" s="303">
        <f t="shared" si="7"/>
        <v>25.84630744061695</v>
      </c>
    </row>
    <row r="26" spans="1:13" ht="33" customHeight="1">
      <c r="A26" s="79" t="s">
        <v>263</v>
      </c>
      <c r="B26" s="77">
        <v>21900</v>
      </c>
      <c r="C26" s="308">
        <f>F26+I26</f>
        <v>0</v>
      </c>
      <c r="D26" s="308">
        <f>G26+J26</f>
        <v>-29040.5</v>
      </c>
      <c r="E26" s="306"/>
      <c r="F26" s="305">
        <f>район!C81</f>
        <v>0</v>
      </c>
      <c r="G26" s="305">
        <f>район!D81</f>
        <v>-29040.5</v>
      </c>
      <c r="H26" s="303"/>
      <c r="I26" s="305">
        <v>0</v>
      </c>
      <c r="J26" s="305">
        <v>0</v>
      </c>
      <c r="K26" s="305">
        <v>0</v>
      </c>
      <c r="L26" s="83"/>
    </row>
    <row r="27" spans="1:13" ht="29.25" customHeight="1">
      <c r="A27" s="76" t="s">
        <v>201</v>
      </c>
      <c r="B27" s="76"/>
      <c r="C27" s="310">
        <f>C24+C23+C26+C25</f>
        <v>758926.03155999992</v>
      </c>
      <c r="D27" s="310">
        <f>D24+D23+D26+D25</f>
        <v>26064.974679999999</v>
      </c>
      <c r="E27" s="310">
        <f t="shared" si="5"/>
        <v>3.4344552164619389</v>
      </c>
      <c r="F27" s="310">
        <f>F24+F23</f>
        <v>740316.78028999991</v>
      </c>
      <c r="G27" s="310">
        <f>G24+G23</f>
        <v>52800.507400000002</v>
      </c>
      <c r="H27" s="310">
        <f t="shared" si="2"/>
        <v>7.1321505611850062</v>
      </c>
      <c r="I27" s="310">
        <f>I24+I23</f>
        <v>114331.11476</v>
      </c>
      <c r="J27" s="310">
        <f>J24+J23</f>
        <v>9916.9026000000013</v>
      </c>
      <c r="K27" s="309">
        <f t="shared" si="7"/>
        <v>8.6738440544529176</v>
      </c>
      <c r="L27" s="95"/>
      <c r="M27" s="83"/>
    </row>
    <row r="28" spans="1:13" ht="29.25" customHeight="1">
      <c r="A28" s="76" t="s">
        <v>202</v>
      </c>
      <c r="B28" s="76"/>
      <c r="C28" s="310">
        <f>C29+C30+C31+C32+C33+C34+C35+C36+C37+C41+C38+C39+C40</f>
        <v>766352.04309999989</v>
      </c>
      <c r="D28" s="310">
        <f>SUM(D29:D41)</f>
        <v>83355.533509999994</v>
      </c>
      <c r="E28" s="310">
        <f t="shared" si="5"/>
        <v>10.876924549299217</v>
      </c>
      <c r="F28" s="487">
        <f>SUM(F29+F30+F31+F32+F33+F34+F35+F36+F37+F38+F39+F40+F41)</f>
        <v>742983.63185999996</v>
      </c>
      <c r="G28" s="488">
        <f>SUM(G29:G41)</f>
        <v>84022.227179999987</v>
      </c>
      <c r="H28" s="310">
        <f t="shared" si="2"/>
        <v>11.308758844344535</v>
      </c>
      <c r="I28" s="487">
        <f>I29+I30+I31+I32+I33+I34+I35+I36+I37+I38+I39+I40+I41</f>
        <v>119090.27472999999</v>
      </c>
      <c r="J28" s="488">
        <f>J29+J30+J31+J32+J33+J34+J35+J36+J37+J38+J39+J40+J41</f>
        <v>7802.1563299999989</v>
      </c>
      <c r="K28" s="309">
        <f t="shared" si="7"/>
        <v>6.5514638770369382</v>
      </c>
      <c r="L28" s="95"/>
    </row>
    <row r="29" spans="1:13" ht="30.75" customHeight="1">
      <c r="A29" s="81" t="s">
        <v>203</v>
      </c>
      <c r="B29" s="82" t="s">
        <v>30</v>
      </c>
      <c r="C29" s="486">
        <f>F29+I29</f>
        <v>68177.500379999998</v>
      </c>
      <c r="D29" s="486">
        <f>G29+J29</f>
        <v>7909.8341</v>
      </c>
      <c r="E29" s="312">
        <f t="shared" si="5"/>
        <v>11.601824730905456</v>
      </c>
      <c r="F29" s="304">
        <f>район!C88</f>
        <v>46265.18838</v>
      </c>
      <c r="G29" s="312">
        <f>район!D88</f>
        <v>5638.9930299999996</v>
      </c>
      <c r="H29" s="313">
        <f t="shared" si="2"/>
        <v>12.188414718392636</v>
      </c>
      <c r="I29" s="313">
        <f>Справка!DJ31</f>
        <v>21912.311999999998</v>
      </c>
      <c r="J29" s="313">
        <f>Справка!DK31</f>
        <v>2270.8410699999999</v>
      </c>
      <c r="K29" s="313">
        <f t="shared" si="7"/>
        <v>10.363311137592419</v>
      </c>
    </row>
    <row r="30" spans="1:13" ht="30.75" customHeight="1">
      <c r="A30" s="81" t="s">
        <v>204</v>
      </c>
      <c r="B30" s="82" t="s">
        <v>46</v>
      </c>
      <c r="C30" s="308">
        <f>I30</f>
        <v>2158.6999999999998</v>
      </c>
      <c r="D30" s="308">
        <f>J30</f>
        <v>225.51337999999998</v>
      </c>
      <c r="E30" s="312">
        <f t="shared" si="5"/>
        <v>10.446721638022884</v>
      </c>
      <c r="F30" s="304">
        <f>район!C96</f>
        <v>2158.6999999999998</v>
      </c>
      <c r="G30" s="312">
        <f>район!D96</f>
        <v>356</v>
      </c>
      <c r="H30" s="313">
        <f t="shared" si="2"/>
        <v>16.491406865242972</v>
      </c>
      <c r="I30" s="313">
        <f>Справка!DY31</f>
        <v>2158.6999999999998</v>
      </c>
      <c r="J30" s="313">
        <f>Справка!DZ31</f>
        <v>225.51337999999998</v>
      </c>
      <c r="K30" s="313">
        <f t="shared" si="7"/>
        <v>10.446721638022884</v>
      </c>
    </row>
    <row r="31" spans="1:13" ht="33" customHeight="1">
      <c r="A31" s="81" t="s">
        <v>205</v>
      </c>
      <c r="B31" s="82" t="s">
        <v>50</v>
      </c>
      <c r="C31" s="486">
        <f>F31+I31</f>
        <v>12037.875</v>
      </c>
      <c r="D31" s="486">
        <f>G31+J31</f>
        <v>367.24540999999999</v>
      </c>
      <c r="E31" s="312">
        <f t="shared" si="5"/>
        <v>3.050749488593294</v>
      </c>
      <c r="F31" s="304">
        <f>район!C98</f>
        <v>11876.5</v>
      </c>
      <c r="G31" s="312">
        <f>район!D98</f>
        <v>359.08497999999997</v>
      </c>
      <c r="H31" s="313">
        <f t="shared" si="2"/>
        <v>3.0234916010609183</v>
      </c>
      <c r="I31" s="313">
        <f>Справка!EB31</f>
        <v>161.375</v>
      </c>
      <c r="J31" s="313">
        <f>Справка!EC31</f>
        <v>8.1604299999999999</v>
      </c>
      <c r="K31" s="313">
        <f t="shared" si="7"/>
        <v>5.0568117738187448</v>
      </c>
    </row>
    <row r="32" spans="1:13" ht="30" customHeight="1">
      <c r="A32" s="81" t="s">
        <v>206</v>
      </c>
      <c r="B32" s="82" t="s">
        <v>58</v>
      </c>
      <c r="C32" s="311">
        <v>201223.10735999999</v>
      </c>
      <c r="D32" s="311">
        <v>1168.1639600000001</v>
      </c>
      <c r="E32" s="312">
        <f t="shared" si="5"/>
        <v>0.58053171692159888</v>
      </c>
      <c r="F32" s="304">
        <f>район!C104</f>
        <v>181577.609</v>
      </c>
      <c r="G32" s="312">
        <f>район!D104</f>
        <v>517.18723999999997</v>
      </c>
      <c r="H32" s="313">
        <f t="shared" si="2"/>
        <v>0.28482985476474693</v>
      </c>
      <c r="I32" s="313">
        <f>Справка!EE31</f>
        <v>41781.398359999992</v>
      </c>
      <c r="J32" s="313">
        <f>Справка!EF31</f>
        <v>650.97671999999989</v>
      </c>
      <c r="K32" s="313">
        <f t="shared" si="7"/>
        <v>1.5580539320177986</v>
      </c>
    </row>
    <row r="33" spans="1:12" ht="30" customHeight="1">
      <c r="A33" s="81" t="s">
        <v>207</v>
      </c>
      <c r="B33" s="82" t="s">
        <v>68</v>
      </c>
      <c r="C33" s="311">
        <v>21849.657739999999</v>
      </c>
      <c r="D33" s="311">
        <v>858.20357000000001</v>
      </c>
      <c r="E33" s="312">
        <f t="shared" si="5"/>
        <v>3.9277666506825568</v>
      </c>
      <c r="F33" s="304">
        <f>район!C110</f>
        <v>11590.40985</v>
      </c>
      <c r="G33" s="312">
        <f>район!D110</f>
        <v>152.22256999999999</v>
      </c>
      <c r="H33" s="313">
        <f t="shared" si="2"/>
        <v>1.3133493290575913</v>
      </c>
      <c r="I33" s="313">
        <f>Справка!EH31</f>
        <v>19039.05774</v>
      </c>
      <c r="J33" s="313">
        <f>Справка!EI31</f>
        <v>705.98099999999999</v>
      </c>
      <c r="K33" s="313">
        <f t="shared" si="7"/>
        <v>3.7080669098280699</v>
      </c>
    </row>
    <row r="34" spans="1:12" ht="30" customHeight="1">
      <c r="A34" s="81" t="s">
        <v>208</v>
      </c>
      <c r="B34" s="82" t="s">
        <v>76</v>
      </c>
      <c r="C34" s="308">
        <f>F34</f>
        <v>32</v>
      </c>
      <c r="D34" s="308">
        <f>G34</f>
        <v>0</v>
      </c>
      <c r="E34" s="312">
        <f t="shared" si="5"/>
        <v>0</v>
      </c>
      <c r="F34" s="304">
        <f>район!C114</f>
        <v>32</v>
      </c>
      <c r="G34" s="312">
        <f>район!D114</f>
        <v>0</v>
      </c>
      <c r="H34" s="313">
        <f t="shared" si="2"/>
        <v>0</v>
      </c>
      <c r="I34" s="312"/>
      <c r="J34" s="312"/>
      <c r="K34" s="313">
        <v>0</v>
      </c>
    </row>
    <row r="35" spans="1:12" ht="30" customHeight="1">
      <c r="A35" s="81" t="s">
        <v>209</v>
      </c>
      <c r="B35" s="82" t="s">
        <v>80</v>
      </c>
      <c r="C35" s="308">
        <f>F35</f>
        <v>355936.80244999996</v>
      </c>
      <c r="D35" s="308">
        <f>G35</f>
        <v>64370.845399999991</v>
      </c>
      <c r="E35" s="312">
        <f t="shared" si="5"/>
        <v>18.084908600886376</v>
      </c>
      <c r="F35" s="304">
        <f>район!C116</f>
        <v>355936.80244999996</v>
      </c>
      <c r="G35" s="312">
        <f>район!D116</f>
        <v>64370.845399999991</v>
      </c>
      <c r="H35" s="313">
        <f t="shared" si="2"/>
        <v>18.084908600886376</v>
      </c>
      <c r="I35" s="312"/>
      <c r="J35" s="312"/>
      <c r="K35" s="313">
        <v>0</v>
      </c>
    </row>
    <row r="36" spans="1:12" ht="30" customHeight="1">
      <c r="A36" s="81" t="s">
        <v>210</v>
      </c>
      <c r="B36" s="82" t="s">
        <v>86</v>
      </c>
      <c r="C36" s="311">
        <v>55522.677900000002</v>
      </c>
      <c r="D36" s="311">
        <v>6846.0030999999999</v>
      </c>
      <c r="E36" s="312">
        <f t="shared" si="5"/>
        <v>12.330102507537735</v>
      </c>
      <c r="F36" s="304">
        <f>район!C122</f>
        <v>50616.459340000001</v>
      </c>
      <c r="G36" s="312">
        <f>район!D122</f>
        <v>6317.1573699999999</v>
      </c>
      <c r="H36" s="313">
        <f t="shared" si="2"/>
        <v>12.480441050936614</v>
      </c>
      <c r="I36" s="313">
        <f>Справка!EK31</f>
        <v>33874.519630000003</v>
      </c>
      <c r="J36" s="313">
        <f>Справка!EL31</f>
        <v>3926.1297299999997</v>
      </c>
      <c r="K36" s="313">
        <f t="shared" si="7"/>
        <v>11.590215220418756</v>
      </c>
      <c r="L36" s="83"/>
    </row>
    <row r="37" spans="1:12" ht="30" customHeight="1">
      <c r="A37" s="81" t="s">
        <v>211</v>
      </c>
      <c r="B37" s="82" t="s">
        <v>212</v>
      </c>
      <c r="C37" s="311">
        <f>F37+I37</f>
        <v>43868.770270000001</v>
      </c>
      <c r="D37" s="311">
        <f>G37+J37</f>
        <v>655.89083999999991</v>
      </c>
      <c r="E37" s="312">
        <f t="shared" si="5"/>
        <v>1.4951201867824773</v>
      </c>
      <c r="F37" s="304">
        <f>район!C125</f>
        <v>43868.770270000001</v>
      </c>
      <c r="G37" s="312">
        <f>район!D125</f>
        <v>655.89083999999991</v>
      </c>
      <c r="H37" s="313">
        <f t="shared" si="2"/>
        <v>1.4951201867824773</v>
      </c>
      <c r="I37" s="313">
        <f>Справка!EN31</f>
        <v>0</v>
      </c>
      <c r="J37" s="313">
        <f>Справка!EO31</f>
        <v>0</v>
      </c>
      <c r="K37" s="313"/>
    </row>
    <row r="38" spans="1:12" ht="30" customHeight="1">
      <c r="A38" s="81" t="s">
        <v>213</v>
      </c>
      <c r="B38" s="82" t="s">
        <v>95</v>
      </c>
      <c r="C38" s="311">
        <f>F38+I38</f>
        <v>5499.8119999999999</v>
      </c>
      <c r="D38" s="311">
        <v>953.83375000000001</v>
      </c>
      <c r="E38" s="312">
        <f t="shared" si="5"/>
        <v>17.34302463429659</v>
      </c>
      <c r="F38" s="304">
        <f>район!C130</f>
        <v>5336.9</v>
      </c>
      <c r="G38" s="312">
        <f>район!D130</f>
        <v>939.27974999999992</v>
      </c>
      <c r="H38" s="313">
        <f t="shared" si="2"/>
        <v>17.599725496074502</v>
      </c>
      <c r="I38" s="313">
        <f>Справка!EQ31</f>
        <v>162.91200000000001</v>
      </c>
      <c r="J38" s="313">
        <f>Справка!ER31</f>
        <v>14.554</v>
      </c>
      <c r="K38" s="313">
        <f t="shared" si="7"/>
        <v>8.9336574346886657</v>
      </c>
    </row>
    <row r="39" spans="1:12" ht="30" customHeight="1">
      <c r="A39" s="81" t="s">
        <v>214</v>
      </c>
      <c r="B39" s="82" t="s">
        <v>107</v>
      </c>
      <c r="C39" s="304">
        <f>F39</f>
        <v>45.14</v>
      </c>
      <c r="D39" s="314">
        <f>G39</f>
        <v>0</v>
      </c>
      <c r="E39" s="312">
        <f t="shared" si="5"/>
        <v>0</v>
      </c>
      <c r="F39" s="304">
        <f>район!C136</f>
        <v>45.14</v>
      </c>
      <c r="G39" s="312">
        <f>район!D136</f>
        <v>0</v>
      </c>
      <c r="H39" s="313">
        <f t="shared" si="2"/>
        <v>0</v>
      </c>
      <c r="I39" s="313"/>
      <c r="J39" s="313"/>
      <c r="K39" s="313">
        <v>0</v>
      </c>
    </row>
    <row r="40" spans="1:12" ht="34.5" customHeight="1">
      <c r="A40" s="81" t="s">
        <v>215</v>
      </c>
      <c r="B40" s="82" t="s">
        <v>111</v>
      </c>
      <c r="C40" s="304">
        <f>F40</f>
        <v>0</v>
      </c>
      <c r="D40" s="314">
        <f>G40</f>
        <v>0</v>
      </c>
      <c r="E40" s="312"/>
      <c r="F40" s="304">
        <f>район!C138</f>
        <v>0</v>
      </c>
      <c r="G40" s="312">
        <f>район!D138</f>
        <v>0</v>
      </c>
      <c r="H40" s="313">
        <v>0</v>
      </c>
      <c r="I40" s="313"/>
      <c r="J40" s="315"/>
      <c r="K40" s="313">
        <v>0</v>
      </c>
    </row>
    <row r="41" spans="1:12" ht="30" customHeight="1">
      <c r="A41" s="81" t="s">
        <v>216</v>
      </c>
      <c r="B41" s="82" t="s">
        <v>217</v>
      </c>
      <c r="C41" s="304">
        <v>0</v>
      </c>
      <c r="D41" s="314"/>
      <c r="E41" s="312">
        <v>0</v>
      </c>
      <c r="F41" s="304">
        <f>район!C140</f>
        <v>33679.152569999998</v>
      </c>
      <c r="G41" s="312">
        <f>район!D140</f>
        <v>4715.5659999999998</v>
      </c>
      <c r="H41" s="313">
        <f t="shared" si="2"/>
        <v>14.001438991669973</v>
      </c>
      <c r="I41" s="313">
        <f>Справка!ET31</f>
        <v>0</v>
      </c>
      <c r="J41" s="315">
        <f>Справка!EU31</f>
        <v>0</v>
      </c>
      <c r="K41" s="313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-7426.0115399999777</v>
      </c>
      <c r="D43" s="139">
        <f>D27-D28</f>
        <v>-57290.558829999994</v>
      </c>
      <c r="E43" s="139"/>
      <c r="F43" s="139">
        <f>F27-F28</f>
        <v>-2666.8515700000571</v>
      </c>
      <c r="G43" s="139">
        <f>G27-G28</f>
        <v>-31221.719779999985</v>
      </c>
      <c r="H43" s="139"/>
      <c r="I43" s="139">
        <f>I27-I28</f>
        <v>-4759.1599699999933</v>
      </c>
      <c r="J43" s="139">
        <f>J27-J28</f>
        <v>2114.7462700000024</v>
      </c>
      <c r="K43" s="139"/>
    </row>
    <row r="44" spans="1:12" hidden="1">
      <c r="A44" s="140"/>
      <c r="B44" s="141"/>
      <c r="C44" s="139">
        <f>C43-F44</f>
        <v>7.2759576141834259E-11</v>
      </c>
      <c r="D44" s="139">
        <f>D43-G44</f>
        <v>-28183.585320000013</v>
      </c>
      <c r="E44" s="139"/>
      <c r="F44" s="139">
        <f>F43+I43</f>
        <v>-7426.0115400000504</v>
      </c>
      <c r="G44" s="139">
        <f>G43+J43</f>
        <v>-29106.973509999982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558552.51428999985</v>
      </c>
      <c r="G45" s="143">
        <f>D28+G44-D23-D26</f>
        <v>56934.396760000011</v>
      </c>
      <c r="H45" s="137"/>
      <c r="I45" s="137"/>
      <c r="J45" s="137"/>
      <c r="K45" s="139"/>
    </row>
    <row r="46" spans="1:12">
      <c r="A46" s="140"/>
      <c r="B46" s="141"/>
      <c r="C46" s="323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98"/>
      <c r="E50" s="498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37D0E254-14A1-48DF-98B1-097427A51078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5BFCA170-DEAE-4D2C-98A0-1E68B427AC01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  <customSheetView guid="{61528DAC-5C4C-48F4-ADE2-8A724B05A086}" scale="80" showPageBreaks="1" printArea="1" hiddenRows="1" view="pageBreakPreview">
      <selection activeCell="I10" sqref="I1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7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B30CE22D-C12F-4E12-8BB9-3AAE0A6991CC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0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14" zoomScale="70" zoomScaleNormal="100" zoomScaleSheetLayoutView="70" workbookViewId="0">
      <selection activeCell="C98" sqref="C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428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6.75" customHeight="1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2594.6179999999999</v>
      </c>
      <c r="D4" s="5">
        <f>D5+D12+D14+D17+D7</f>
        <v>162.59838999999999</v>
      </c>
      <c r="E4" s="5">
        <f>SUM(D4/C4*100)</f>
        <v>6.266756416551492</v>
      </c>
      <c r="F4" s="5">
        <f>SUM(D4-C4)</f>
        <v>-2432.0196099999998</v>
      </c>
    </row>
    <row r="5" spans="1:6" s="6" customFormat="1">
      <c r="A5" s="68">
        <v>1010000000</v>
      </c>
      <c r="B5" s="67" t="s">
        <v>6</v>
      </c>
      <c r="C5" s="5">
        <f>C6</f>
        <v>244.083</v>
      </c>
      <c r="D5" s="5">
        <f>D6</f>
        <v>33.151679999999999</v>
      </c>
      <c r="E5" s="5">
        <f t="shared" ref="E5:E51" si="0">SUM(D5/C5*100)</f>
        <v>13.582133946239599</v>
      </c>
      <c r="F5" s="5">
        <f t="shared" ref="F5:F51" si="1">SUM(D5-C5)</f>
        <v>-210.93132</v>
      </c>
    </row>
    <row r="6" spans="1:6">
      <c r="A6" s="7">
        <v>1010200001</v>
      </c>
      <c r="B6" s="8" t="s">
        <v>229</v>
      </c>
      <c r="C6" s="9">
        <v>244.083</v>
      </c>
      <c r="D6" s="10">
        <v>33.151679999999999</v>
      </c>
      <c r="E6" s="9">
        <f t="shared" ref="E6:E11" si="2">SUM(D6/C6*100)</f>
        <v>13.582133946239599</v>
      </c>
      <c r="F6" s="9">
        <f t="shared" si="1"/>
        <v>-210.93132</v>
      </c>
    </row>
    <row r="7" spans="1:6" ht="31.5">
      <c r="A7" s="3">
        <v>1030000000</v>
      </c>
      <c r="B7" s="13" t="s">
        <v>281</v>
      </c>
      <c r="C7" s="5">
        <f>C8+C10+C9</f>
        <v>424.53500000000003</v>
      </c>
      <c r="D7" s="5">
        <f>D8+D9+D10+D11</f>
        <v>86.483650000000011</v>
      </c>
      <c r="E7" s="9">
        <f t="shared" si="2"/>
        <v>20.371382807071267</v>
      </c>
      <c r="F7" s="9">
        <f t="shared" si="1"/>
        <v>-338.05135000000001</v>
      </c>
    </row>
    <row r="8" spans="1:6">
      <c r="A8" s="7">
        <v>1030223001</v>
      </c>
      <c r="B8" s="8" t="s">
        <v>283</v>
      </c>
      <c r="C8" s="9">
        <v>158.35</v>
      </c>
      <c r="D8" s="10">
        <v>38.305610000000001</v>
      </c>
      <c r="E8" s="9">
        <f t="shared" si="2"/>
        <v>24.190470476791916</v>
      </c>
      <c r="F8" s="9">
        <f t="shared" si="1"/>
        <v>-120.04438999999999</v>
      </c>
    </row>
    <row r="9" spans="1:6">
      <c r="A9" s="7">
        <v>1030224001</v>
      </c>
      <c r="B9" s="8" t="s">
        <v>289</v>
      </c>
      <c r="C9" s="9">
        <v>1.6950000000000001</v>
      </c>
      <c r="D9" s="10">
        <v>0.25990000000000002</v>
      </c>
      <c r="E9" s="9">
        <f t="shared" si="2"/>
        <v>15.333333333333336</v>
      </c>
      <c r="F9" s="9">
        <f t="shared" si="1"/>
        <v>-1.4351</v>
      </c>
    </row>
    <row r="10" spans="1:6">
      <c r="A10" s="7">
        <v>1030225001</v>
      </c>
      <c r="B10" s="8" t="s">
        <v>282</v>
      </c>
      <c r="C10" s="9">
        <v>264.49</v>
      </c>
      <c r="D10" s="10">
        <v>56.263300000000001</v>
      </c>
      <c r="E10" s="9">
        <f t="shared" si="2"/>
        <v>21.27237324662558</v>
      </c>
      <c r="F10" s="9">
        <f t="shared" si="1"/>
        <v>-208.22669999999999</v>
      </c>
    </row>
    <row r="11" spans="1:6">
      <c r="A11" s="7">
        <v>1030265001</v>
      </c>
      <c r="B11" s="8" t="s">
        <v>291</v>
      </c>
      <c r="C11" s="9">
        <v>0</v>
      </c>
      <c r="D11" s="10">
        <v>-8.3451599999999999</v>
      </c>
      <c r="E11" s="9" t="e">
        <f t="shared" si="2"/>
        <v>#DIV/0!</v>
      </c>
      <c r="F11" s="9">
        <f t="shared" si="1"/>
        <v>-8.3451599999999999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1.026</v>
      </c>
      <c r="E12" s="5">
        <f t="shared" si="0"/>
        <v>2.5649999999999999</v>
      </c>
      <c r="F12" s="5">
        <f t="shared" si="1"/>
        <v>-38.973999999999997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1.026</v>
      </c>
      <c r="E13" s="9">
        <f t="shared" si="0"/>
        <v>2.5649999999999999</v>
      </c>
      <c r="F13" s="9">
        <f t="shared" si="1"/>
        <v>-38.973999999999997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1876</v>
      </c>
      <c r="D14" s="5">
        <f>D15+D16</f>
        <v>41.637059999999998</v>
      </c>
      <c r="E14" s="5">
        <f t="shared" si="0"/>
        <v>2.2194594882729213</v>
      </c>
      <c r="F14" s="5">
        <f t="shared" si="1"/>
        <v>-1834.36294</v>
      </c>
    </row>
    <row r="15" spans="1:6" s="6" customFormat="1" ht="15.75" customHeight="1">
      <c r="A15" s="7">
        <v>1060100000</v>
      </c>
      <c r="B15" s="11" t="s">
        <v>9</v>
      </c>
      <c r="C15" s="9">
        <v>326</v>
      </c>
      <c r="D15" s="10">
        <v>2.4299999999999999E-2</v>
      </c>
      <c r="E15" s="9">
        <f t="shared" si="0"/>
        <v>7.4539877300613486E-3</v>
      </c>
      <c r="F15" s="9">
        <f>SUM(D15-C15)</f>
        <v>-325.97570000000002</v>
      </c>
    </row>
    <row r="16" spans="1:6" ht="15.75" customHeight="1">
      <c r="A16" s="7">
        <v>1060600000</v>
      </c>
      <c r="B16" s="11" t="s">
        <v>8</v>
      </c>
      <c r="C16" s="9">
        <v>1550</v>
      </c>
      <c r="D16" s="10">
        <v>41.612760000000002</v>
      </c>
      <c r="E16" s="9">
        <f t="shared" si="0"/>
        <v>2.6846941935483875</v>
      </c>
      <c r="F16" s="9">
        <f t="shared" si="1"/>
        <v>-1508.38724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0.3</v>
      </c>
      <c r="E17" s="5">
        <f t="shared" si="0"/>
        <v>3</v>
      </c>
      <c r="F17" s="5">
        <f t="shared" si="1"/>
        <v>-9.6999999999999993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0.3</v>
      </c>
      <c r="E18" s="9">
        <f t="shared" si="0"/>
        <v>3</v>
      </c>
      <c r="F18" s="9">
        <f t="shared" si="1"/>
        <v>-9.6999999999999993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80</v>
      </c>
      <c r="D25" s="5">
        <f>D26+D29+D31+D36+D34</f>
        <v>15.18961</v>
      </c>
      <c r="E25" s="5">
        <f t="shared" si="0"/>
        <v>18.987012499999999</v>
      </c>
      <c r="F25" s="5">
        <f t="shared" si="1"/>
        <v>-64.810389999999998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80</v>
      </c>
      <c r="D26" s="5">
        <f>D27+D28</f>
        <v>9.15</v>
      </c>
      <c r="E26" s="5">
        <f t="shared" si="0"/>
        <v>11.4375</v>
      </c>
      <c r="F26" s="5">
        <f t="shared" si="1"/>
        <v>-70.849999999999994</v>
      </c>
    </row>
    <row r="27" spans="1:6" ht="15.75" customHeight="1">
      <c r="A27" s="16">
        <v>1110502510</v>
      </c>
      <c r="B27" s="17" t="s">
        <v>226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4.5</v>
      </c>
      <c r="E28" s="9">
        <f t="shared" si="0"/>
        <v>15</v>
      </c>
      <c r="F28" s="9">
        <f t="shared" si="1"/>
        <v>-25.5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0</v>
      </c>
      <c r="D29" s="5">
        <f>D30</f>
        <v>10.68961</v>
      </c>
      <c r="E29" s="5" t="e">
        <f t="shared" si="0"/>
        <v>#DIV/0!</v>
      </c>
      <c r="F29" s="5">
        <f t="shared" si="1"/>
        <v>10.68961</v>
      </c>
    </row>
    <row r="30" spans="1:6" ht="15.75" customHeight="1">
      <c r="A30" s="7">
        <v>1130206005</v>
      </c>
      <c r="B30" s="8" t="s">
        <v>224</v>
      </c>
      <c r="C30" s="9">
        <v>0</v>
      </c>
      <c r="D30" s="10">
        <v>10.68961</v>
      </c>
      <c r="E30" s="9" t="e">
        <f t="shared" si="0"/>
        <v>#DIV/0!</v>
      </c>
      <c r="F30" s="9">
        <f t="shared" si="1"/>
        <v>10.68961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437">
        <f>SUM(C4,C25)</f>
        <v>2674.6179999999999</v>
      </c>
      <c r="D39" s="437">
        <f>SUM(D4,D25)</f>
        <v>177.78799999999998</v>
      </c>
      <c r="E39" s="5">
        <f t="shared" si="0"/>
        <v>6.6472296230714063</v>
      </c>
      <c r="F39" s="5">
        <f t="shared" si="1"/>
        <v>-2496.83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2769.9829999999997</v>
      </c>
      <c r="D40" s="390">
        <f>D41+D43+D45+D46+D48+D49+D42+D47</f>
        <v>273.416</v>
      </c>
      <c r="E40" s="5">
        <f t="shared" si="0"/>
        <v>9.8706742965570555</v>
      </c>
      <c r="F40" s="5">
        <f t="shared" si="1"/>
        <v>-2496.5669999999996</v>
      </c>
      <c r="G40" s="19"/>
    </row>
    <row r="41" spans="1:7">
      <c r="A41" s="16">
        <v>2021000000</v>
      </c>
      <c r="B41" s="17" t="s">
        <v>21</v>
      </c>
      <c r="C41" s="99">
        <v>1462.5</v>
      </c>
      <c r="D41" s="20">
        <v>243.75</v>
      </c>
      <c r="E41" s="9">
        <f t="shared" si="0"/>
        <v>16.666666666666664</v>
      </c>
      <c r="F41" s="9">
        <f t="shared" si="1"/>
        <v>-1218.75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22</v>
      </c>
      <c r="C43" s="12">
        <v>1125.08</v>
      </c>
      <c r="D43" s="10">
        <v>0</v>
      </c>
      <c r="E43" s="9">
        <f t="shared" si="0"/>
        <v>0</v>
      </c>
      <c r="F43" s="9">
        <f t="shared" si="1"/>
        <v>-1125.08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182.40299999999999</v>
      </c>
      <c r="D45" s="251">
        <v>29.666</v>
      </c>
      <c r="E45" s="9">
        <f t="shared" si="0"/>
        <v>16.2639868861806</v>
      </c>
      <c r="F45" s="9">
        <f t="shared" si="1"/>
        <v>-152.73699999999999</v>
      </c>
    </row>
    <row r="46" spans="1:7" ht="17.2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85">
        <f>C39+C40</f>
        <v>5444.6009999999997</v>
      </c>
      <c r="D51" s="386">
        <f>D39+D40</f>
        <v>451.20399999999995</v>
      </c>
      <c r="E51" s="5">
        <f t="shared" si="0"/>
        <v>8.2871821093960776</v>
      </c>
      <c r="F51" s="5">
        <f t="shared" si="1"/>
        <v>-4993.3969999999999</v>
      </c>
      <c r="G51" s="293"/>
    </row>
    <row r="52" spans="1:7" s="6" customFormat="1">
      <c r="A52" s="3"/>
      <c r="B52" s="21" t="s">
        <v>321</v>
      </c>
      <c r="C52" s="93">
        <f>C51-C99</f>
        <v>-2.4525000000003274</v>
      </c>
      <c r="D52" s="93">
        <f>D51-D99</f>
        <v>-53.497730000000047</v>
      </c>
      <c r="E52" s="22"/>
      <c r="F52" s="22"/>
    </row>
    <row r="53" spans="1:7" ht="23.25" customHeight="1">
      <c r="A53" s="23"/>
      <c r="B53" s="24"/>
      <c r="C53" s="242"/>
      <c r="D53" s="242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412</v>
      </c>
      <c r="D54" s="103" t="s">
        <v>418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1204.2350000000001</v>
      </c>
      <c r="D56" s="33">
        <f>D57+D58+D59+D60+D61+D63+D62</f>
        <v>129.23369</v>
      </c>
      <c r="E56" s="34">
        <f>SUM(D56/C56*100)</f>
        <v>10.731600559691421</v>
      </c>
      <c r="F56" s="34">
        <f>SUM(D56-C56)</f>
        <v>-1075.0013100000001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1195.0350000000001</v>
      </c>
      <c r="D58" s="37">
        <v>125.19919</v>
      </c>
      <c r="E58" s="38">
        <f t="shared" ref="E58:E99" si="3">SUM(D58/C58*100)</f>
        <v>10.476612818871413</v>
      </c>
      <c r="F58" s="38">
        <f t="shared" ref="F58:F99" si="4">SUM(D58-C58)</f>
        <v>-1069.83581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4.2</v>
      </c>
      <c r="D63" s="37">
        <v>4.0345000000000004</v>
      </c>
      <c r="E63" s="38">
        <f t="shared" si="3"/>
        <v>96.05952380952381</v>
      </c>
      <c r="F63" s="38">
        <f t="shared" si="4"/>
        <v>-0.16549999999999976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18.689</v>
      </c>
      <c r="E64" s="34">
        <f t="shared" si="3"/>
        <v>10.389011184488471</v>
      </c>
      <c r="F64" s="34">
        <f t="shared" si="4"/>
        <v>-161.203</v>
      </c>
    </row>
    <row r="65" spans="1:7">
      <c r="A65" s="43" t="s">
        <v>48</v>
      </c>
      <c r="B65" s="44" t="s">
        <v>49</v>
      </c>
      <c r="C65" s="37">
        <v>179.892</v>
      </c>
      <c r="D65" s="37">
        <v>18.689</v>
      </c>
      <c r="E65" s="38">
        <f t="shared" si="3"/>
        <v>10.389011184488471</v>
      </c>
      <c r="F65" s="38">
        <f t="shared" si="4"/>
        <v>-161.203</v>
      </c>
    </row>
    <row r="66" spans="1:7" s="6" customFormat="1" ht="18.75" customHeight="1">
      <c r="A66" s="30" t="s">
        <v>50</v>
      </c>
      <c r="B66" s="31" t="s">
        <v>51</v>
      </c>
      <c r="C66" s="32">
        <f>C70+C69+C68+C67+C71</f>
        <v>10</v>
      </c>
      <c r="D66" s="32">
        <f>D70+D69+D68+D67</f>
        <v>1.35</v>
      </c>
      <c r="E66" s="34">
        <f t="shared" si="3"/>
        <v>13.5</v>
      </c>
      <c r="F66" s="34">
        <f t="shared" si="4"/>
        <v>-8.65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1.5</v>
      </c>
      <c r="D69" s="37">
        <v>0</v>
      </c>
      <c r="E69" s="38">
        <f t="shared" si="3"/>
        <v>0</v>
      </c>
      <c r="F69" s="38">
        <f t="shared" si="4"/>
        <v>-1.5</v>
      </c>
    </row>
    <row r="70" spans="1:7" ht="15.75" customHeight="1">
      <c r="A70" s="46" t="s">
        <v>219</v>
      </c>
      <c r="B70" s="47" t="s">
        <v>220</v>
      </c>
      <c r="C70" s="37">
        <v>6.5</v>
      </c>
      <c r="D70" s="37">
        <v>1.35</v>
      </c>
      <c r="E70" s="38">
        <f>SUM(D70/C70*100)</f>
        <v>20.76923076923077</v>
      </c>
      <c r="F70" s="38">
        <f>SUM(D70-C70)</f>
        <v>-5.15</v>
      </c>
    </row>
    <row r="71" spans="1:7" ht="15.75" customHeight="1">
      <c r="A71" s="46" t="s">
        <v>358</v>
      </c>
      <c r="B71" s="47" t="s">
        <v>438</v>
      </c>
      <c r="C71" s="37">
        <v>2</v>
      </c>
      <c r="D71" s="37"/>
      <c r="E71" s="38"/>
      <c r="F71" s="38"/>
    </row>
    <row r="72" spans="1:7" s="6" customFormat="1">
      <c r="A72" s="30" t="s">
        <v>58</v>
      </c>
      <c r="B72" s="31" t="s">
        <v>59</v>
      </c>
      <c r="C72" s="48">
        <f>SUM(C73:C76)</f>
        <v>1731.3175000000001</v>
      </c>
      <c r="D72" s="48">
        <f>SUM(D73:D76)</f>
        <v>54.800370000000001</v>
      </c>
      <c r="E72" s="34">
        <f t="shared" si="3"/>
        <v>3.165240922014593</v>
      </c>
      <c r="F72" s="34">
        <f t="shared" si="4"/>
        <v>-1676.5171300000002</v>
      </c>
    </row>
    <row r="73" spans="1:7" ht="17.2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62</v>
      </c>
      <c r="B74" s="39" t="s">
        <v>63</v>
      </c>
      <c r="C74" s="49">
        <v>100</v>
      </c>
      <c r="D74" s="37">
        <v>10.69</v>
      </c>
      <c r="E74" s="38">
        <f t="shared" si="3"/>
        <v>10.69</v>
      </c>
      <c r="F74" s="38">
        <f t="shared" si="4"/>
        <v>-89.31</v>
      </c>
      <c r="G74" s="50"/>
    </row>
    <row r="75" spans="1:7">
      <c r="A75" s="35" t="s">
        <v>64</v>
      </c>
      <c r="B75" s="39" t="s">
        <v>65</v>
      </c>
      <c r="C75" s="49">
        <v>1574.615</v>
      </c>
      <c r="D75" s="37">
        <v>21.11037</v>
      </c>
      <c r="E75" s="38">
        <f t="shared" si="3"/>
        <v>1.3406686713895142</v>
      </c>
      <c r="F75" s="38">
        <f t="shared" si="4"/>
        <v>-1553.5046299999999</v>
      </c>
    </row>
    <row r="76" spans="1:7">
      <c r="A76" s="35" t="s">
        <v>66</v>
      </c>
      <c r="B76" s="39" t="s">
        <v>67</v>
      </c>
      <c r="C76" s="49">
        <v>50</v>
      </c>
      <c r="D76" s="37">
        <v>23</v>
      </c>
      <c r="E76" s="38">
        <f t="shared" si="3"/>
        <v>46</v>
      </c>
      <c r="F76" s="38">
        <f t="shared" si="4"/>
        <v>-27</v>
      </c>
    </row>
    <row r="77" spans="1:7" s="6" customFormat="1" ht="18" customHeight="1">
      <c r="A77" s="30" t="s">
        <v>68</v>
      </c>
      <c r="B77" s="31" t="s">
        <v>69</v>
      </c>
      <c r="C77" s="32">
        <f>SUM(C78:C81)</f>
        <v>720.50900000000001</v>
      </c>
      <c r="D77" s="32">
        <f>SUM(D78:D81)</f>
        <v>39.528669999999998</v>
      </c>
      <c r="E77" s="34">
        <f t="shared" si="3"/>
        <v>5.4862146066183763</v>
      </c>
      <c r="F77" s="34">
        <f t="shared" si="4"/>
        <v>-680.98032999999998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74</v>
      </c>
      <c r="B80" s="39" t="s">
        <v>75</v>
      </c>
      <c r="C80" s="37">
        <v>720.50900000000001</v>
      </c>
      <c r="D80" s="37">
        <v>39.528669999999998</v>
      </c>
      <c r="E80" s="38">
        <f t="shared" si="3"/>
        <v>5.4862146066183763</v>
      </c>
      <c r="F80" s="38">
        <f t="shared" si="4"/>
        <v>-680.98032999999998</v>
      </c>
    </row>
    <row r="81" spans="1:6" ht="31.5" hidden="1">
      <c r="A81" s="35" t="s">
        <v>264</v>
      </c>
      <c r="B81" s="39" t="s">
        <v>278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86</v>
      </c>
      <c r="B82" s="31" t="s">
        <v>87</v>
      </c>
      <c r="C82" s="32">
        <f>C83</f>
        <v>1599.1</v>
      </c>
      <c r="D82" s="32">
        <f>SUM(D83)</f>
        <v>261.10000000000002</v>
      </c>
      <c r="E82" s="34">
        <f t="shared" si="3"/>
        <v>16.327934463135517</v>
      </c>
      <c r="F82" s="34">
        <f t="shared" si="4"/>
        <v>-1338</v>
      </c>
    </row>
    <row r="83" spans="1:6" ht="16.5" customHeight="1">
      <c r="A83" s="35" t="s">
        <v>88</v>
      </c>
      <c r="B83" s="39" t="s">
        <v>234</v>
      </c>
      <c r="C83" s="37">
        <v>1599.1</v>
      </c>
      <c r="D83" s="37">
        <v>261.10000000000002</v>
      </c>
      <c r="E83" s="38">
        <f t="shared" si="3"/>
        <v>16.327934463135517</v>
      </c>
      <c r="F83" s="38">
        <f t="shared" si="4"/>
        <v>-1338</v>
      </c>
    </row>
    <row r="84" spans="1:6" s="6" customFormat="1" ht="18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90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91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92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9.5" customHeight="1">
      <c r="A90" s="35" t="s">
        <v>97</v>
      </c>
      <c r="B90" s="39" t="s">
        <v>98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119</v>
      </c>
      <c r="C99" s="376">
        <f>C56+C64+C66+C72+C77+C82+C84+C89+C95</f>
        <v>5447.0535</v>
      </c>
      <c r="D99" s="376">
        <f>D56+D64+D66+D72+D77+D82+D84+D89+D95</f>
        <v>504.70173</v>
      </c>
      <c r="E99" s="34">
        <f t="shared" si="3"/>
        <v>9.2655915716634691</v>
      </c>
      <c r="F99" s="34">
        <f t="shared" si="4"/>
        <v>-4942.3517700000002</v>
      </c>
    </row>
    <row r="100" spans="1:6" ht="20.25" customHeight="1">
      <c r="C100" s="343"/>
      <c r="D100" s="344"/>
    </row>
    <row r="101" spans="1:6" s="65" customFormat="1" ht="13.5" customHeight="1">
      <c r="A101" s="63" t="s">
        <v>120</v>
      </c>
      <c r="B101" s="63"/>
      <c r="C101" s="64"/>
      <c r="D101" s="64"/>
    </row>
    <row r="102" spans="1:6" s="65" customFormat="1" ht="12.75">
      <c r="A102" s="66" t="s">
        <v>121</v>
      </c>
      <c r="B102" s="66"/>
      <c r="C102" s="134" t="s">
        <v>122</v>
      </c>
      <c r="D102" s="134"/>
    </row>
    <row r="103" spans="1:6" ht="5.25" customHeight="1"/>
    <row r="142" hidden="1"/>
  </sheetData>
  <customSheetViews>
    <customSheetView guid="{37D0E254-14A1-48DF-98B1-097427A51078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3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5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70" hiddenRows="1" view="pageBreakPreview" topLeftCell="A40">
      <selection activeCell="D90" sqref="D90"/>
      <pageMargins left="0.7" right="0.7" top="0.75" bottom="0.75" header="0.3" footer="0.3"/>
      <pageSetup paperSize="9" scale="57" orientation="portrait" r:id="rId8"/>
    </customSheetView>
    <customSheetView guid="{B30CE22D-C12F-4E12-8BB9-3AAE0A6991CC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17" zoomScale="70" zoomScaleNormal="100" zoomScaleSheetLayoutView="70" workbookViewId="0">
      <selection activeCell="D87" sqref="D87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429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1828.2080000000001</v>
      </c>
      <c r="D4" s="5">
        <f>D5+D12+D14+D17+D7+D20</f>
        <v>245.01457999999997</v>
      </c>
      <c r="E4" s="5">
        <f>SUM(D4/C4*100)</f>
        <v>13.401898471071123</v>
      </c>
      <c r="F4" s="5">
        <f>SUM(D4-C4)</f>
        <v>-1583.1934200000001</v>
      </c>
    </row>
    <row r="5" spans="1:6" s="6" customFormat="1">
      <c r="A5" s="68">
        <v>1010000000</v>
      </c>
      <c r="B5" s="67" t="s">
        <v>6</v>
      </c>
      <c r="C5" s="5">
        <f>C6</f>
        <v>111.54300000000001</v>
      </c>
      <c r="D5" s="5">
        <f>D6</f>
        <v>20.542850000000001</v>
      </c>
      <c r="E5" s="5">
        <f t="shared" ref="E5:E51" si="0">SUM(D5/C5*100)</f>
        <v>18.416978205714386</v>
      </c>
      <c r="F5" s="5">
        <f t="shared" ref="F5:F48" si="1">SUM(D5-C5)</f>
        <v>-91.000150000000005</v>
      </c>
    </row>
    <row r="6" spans="1:6">
      <c r="A6" s="7">
        <v>1010200001</v>
      </c>
      <c r="B6" s="8" t="s">
        <v>229</v>
      </c>
      <c r="C6" s="9">
        <v>111.54300000000001</v>
      </c>
      <c r="D6" s="10">
        <v>20.542850000000001</v>
      </c>
      <c r="E6" s="9">
        <f t="shared" ref="E6:E11" si="2">SUM(D6/C6*100)</f>
        <v>18.416978205714386</v>
      </c>
      <c r="F6" s="9">
        <f t="shared" si="1"/>
        <v>-91.000150000000005</v>
      </c>
    </row>
    <row r="7" spans="1:6" ht="31.5">
      <c r="A7" s="3">
        <v>1030000000</v>
      </c>
      <c r="B7" s="13" t="s">
        <v>281</v>
      </c>
      <c r="C7" s="5">
        <f>C8+C10+C9</f>
        <v>523.66500000000008</v>
      </c>
      <c r="D7" s="5">
        <f>D8+D10+D9+D11</f>
        <v>106.67780999999998</v>
      </c>
      <c r="E7" s="9">
        <f t="shared" si="2"/>
        <v>20.371384377416852</v>
      </c>
      <c r="F7" s="9">
        <f t="shared" si="1"/>
        <v>-416.98719000000011</v>
      </c>
    </row>
    <row r="8" spans="1:6">
      <c r="A8" s="7">
        <v>1030223001</v>
      </c>
      <c r="B8" s="8" t="s">
        <v>283</v>
      </c>
      <c r="C8" s="9">
        <v>195.33</v>
      </c>
      <c r="D8" s="10">
        <v>47.250070000000001</v>
      </c>
      <c r="E8" s="9">
        <f t="shared" si="2"/>
        <v>24.18986842778887</v>
      </c>
      <c r="F8" s="9">
        <f t="shared" si="1"/>
        <v>-148.07993000000002</v>
      </c>
    </row>
    <row r="9" spans="1:6">
      <c r="A9" s="7">
        <v>1030224001</v>
      </c>
      <c r="B9" s="8" t="s">
        <v>289</v>
      </c>
      <c r="C9" s="9">
        <v>2.0950000000000002</v>
      </c>
      <c r="D9" s="10">
        <v>0.32058999999999999</v>
      </c>
      <c r="E9" s="9">
        <f t="shared" si="2"/>
        <v>15.302625298329353</v>
      </c>
      <c r="F9" s="9">
        <f t="shared" si="1"/>
        <v>-1.7744100000000003</v>
      </c>
    </row>
    <row r="10" spans="1:6">
      <c r="A10" s="7">
        <v>1030225001</v>
      </c>
      <c r="B10" s="8" t="s">
        <v>282</v>
      </c>
      <c r="C10" s="9">
        <v>326.24</v>
      </c>
      <c r="D10" s="10">
        <v>69.400949999999995</v>
      </c>
      <c r="E10" s="9">
        <f t="shared" si="2"/>
        <v>21.272973884256988</v>
      </c>
      <c r="F10" s="9">
        <f t="shared" si="1"/>
        <v>-256.83905000000004</v>
      </c>
    </row>
    <row r="11" spans="1:6">
      <c r="A11" s="7">
        <v>1030226001</v>
      </c>
      <c r="B11" s="8" t="s">
        <v>291</v>
      </c>
      <c r="C11" s="9">
        <v>0</v>
      </c>
      <c r="D11" s="10">
        <v>-10.293799999999999</v>
      </c>
      <c r="E11" s="9" t="e">
        <f t="shared" si="2"/>
        <v>#DIV/0!</v>
      </c>
      <c r="F11" s="9">
        <f t="shared" si="1"/>
        <v>-10.293799999999999</v>
      </c>
    </row>
    <row r="12" spans="1:6" s="6" customFormat="1">
      <c r="A12" s="68">
        <v>1050000000</v>
      </c>
      <c r="B12" s="67" t="s">
        <v>7</v>
      </c>
      <c r="C12" s="5">
        <f>SUM(C13:C13)</f>
        <v>45</v>
      </c>
      <c r="D12" s="5">
        <f>D13</f>
        <v>4.3853999999999997</v>
      </c>
      <c r="E12" s="5">
        <f t="shared" si="0"/>
        <v>9.745333333333333</v>
      </c>
      <c r="F12" s="5">
        <f t="shared" si="1"/>
        <v>-40.614600000000003</v>
      </c>
    </row>
    <row r="13" spans="1:6" ht="15.75" customHeight="1">
      <c r="A13" s="7">
        <v>1050300000</v>
      </c>
      <c r="B13" s="11" t="s">
        <v>230</v>
      </c>
      <c r="C13" s="12">
        <v>45</v>
      </c>
      <c r="D13" s="10">
        <v>4.3853999999999997</v>
      </c>
      <c r="E13" s="9">
        <f t="shared" si="0"/>
        <v>9.745333333333333</v>
      </c>
      <c r="F13" s="9">
        <f t="shared" si="1"/>
        <v>-40.614600000000003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1138</v>
      </c>
      <c r="D14" s="5">
        <f>D15+D16</f>
        <v>112.80852</v>
      </c>
      <c r="E14" s="5">
        <f t="shared" si="0"/>
        <v>9.9128752196836558</v>
      </c>
      <c r="F14" s="5">
        <f t="shared" si="1"/>
        <v>-1025.19148</v>
      </c>
    </row>
    <row r="15" spans="1:6" s="6" customFormat="1" ht="15.75" customHeight="1">
      <c r="A15" s="7">
        <v>1060100000</v>
      </c>
      <c r="B15" s="11" t="s">
        <v>9</v>
      </c>
      <c r="C15" s="9">
        <v>138</v>
      </c>
      <c r="D15" s="10">
        <v>1.32443</v>
      </c>
      <c r="E15" s="9">
        <f t="shared" si="0"/>
        <v>0.95973188405797105</v>
      </c>
      <c r="F15" s="9">
        <f>SUM(D15-C15)</f>
        <v>-136.67556999999999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111.48408999999999</v>
      </c>
      <c r="E16" s="9">
        <f t="shared" si="0"/>
        <v>11.148408999999999</v>
      </c>
      <c r="F16" s="9">
        <f t="shared" si="1"/>
        <v>-888.51590999999996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0.6</v>
      </c>
      <c r="E17" s="5">
        <f t="shared" si="0"/>
        <v>6</v>
      </c>
      <c r="F17" s="5">
        <f t="shared" si="1"/>
        <v>-9.4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0.6</v>
      </c>
      <c r="E18" s="9">
        <f t="shared" si="0"/>
        <v>6</v>
      </c>
      <c r="F18" s="9">
        <f t="shared" si="1"/>
        <v>-9.4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89</v>
      </c>
      <c r="D25" s="5">
        <f>D26+D29+D31+D36+D34</f>
        <v>1.12896</v>
      </c>
      <c r="E25" s="5">
        <f t="shared" si="0"/>
        <v>1.2684943820224719</v>
      </c>
      <c r="F25" s="5">
        <f t="shared" si="1"/>
        <v>-87.871039999999994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89</v>
      </c>
      <c r="D26" s="375">
        <f>D27+D28</f>
        <v>1.12896</v>
      </c>
      <c r="E26" s="5">
        <f t="shared" si="0"/>
        <v>1.2684943820224719</v>
      </c>
      <c r="F26" s="5">
        <f t="shared" si="1"/>
        <v>-87.871039999999994</v>
      </c>
    </row>
    <row r="27" spans="1:6">
      <c r="A27" s="16">
        <v>1110502510</v>
      </c>
      <c r="B27" s="17" t="s">
        <v>226</v>
      </c>
      <c r="C27" s="12">
        <v>83</v>
      </c>
      <c r="D27" s="10">
        <v>0</v>
      </c>
      <c r="E27" s="9">
        <f t="shared" si="0"/>
        <v>0</v>
      </c>
      <c r="F27" s="9">
        <f t="shared" si="1"/>
        <v>-83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1.12896</v>
      </c>
      <c r="E28" s="9">
        <f t="shared" si="0"/>
        <v>18.815999999999999</v>
      </c>
      <c r="F28" s="9">
        <f t="shared" si="1"/>
        <v>-4.8710399999999998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1917.2080000000001</v>
      </c>
      <c r="D39" s="127">
        <f>SUM(D4,D25)</f>
        <v>246.14353999999997</v>
      </c>
      <c r="E39" s="5">
        <f t="shared" si="0"/>
        <v>12.838645572102763</v>
      </c>
      <c r="F39" s="5">
        <f t="shared" si="1"/>
        <v>-1671.0644600000001</v>
      </c>
    </row>
    <row r="40" spans="1:7" s="6" customFormat="1">
      <c r="A40" s="3">
        <v>2000000000</v>
      </c>
      <c r="B40" s="4" t="s">
        <v>20</v>
      </c>
      <c r="C40" s="342">
        <f>C41+C42+C43+C44+C48+C49</f>
        <v>4654.8119999999999</v>
      </c>
      <c r="D40" s="342">
        <f>D41+D42+D43+D44+D48+D49+D50</f>
        <v>506.666</v>
      </c>
      <c r="E40" s="5">
        <f t="shared" si="0"/>
        <v>10.884779020076428</v>
      </c>
      <c r="F40" s="5">
        <f t="shared" si="1"/>
        <v>-4148.1459999999997</v>
      </c>
      <c r="G40" s="19"/>
    </row>
    <row r="41" spans="1:7">
      <c r="A41" s="16">
        <v>2021000000</v>
      </c>
      <c r="B41" s="17" t="s">
        <v>21</v>
      </c>
      <c r="C41" s="12">
        <v>2862</v>
      </c>
      <c r="D41" s="20">
        <v>477</v>
      </c>
      <c r="E41" s="9">
        <f t="shared" si="0"/>
        <v>16.666666666666664</v>
      </c>
      <c r="F41" s="9">
        <f t="shared" si="1"/>
        <v>-2385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1385.9690000000001</v>
      </c>
      <c r="D43" s="10">
        <v>0</v>
      </c>
      <c r="E43" s="9">
        <f t="shared" si="0"/>
        <v>0</v>
      </c>
      <c r="F43" s="9">
        <f t="shared" si="1"/>
        <v>-1385.9690000000001</v>
      </c>
    </row>
    <row r="44" spans="1:7" ht="18" customHeight="1">
      <c r="A44" s="16">
        <v>2023000000</v>
      </c>
      <c r="B44" s="17" t="s">
        <v>23</v>
      </c>
      <c r="C44" s="12">
        <v>182.04300000000001</v>
      </c>
      <c r="D44" s="251">
        <v>29.666</v>
      </c>
      <c r="E44" s="9">
        <f t="shared" si="0"/>
        <v>16.296149810758997</v>
      </c>
      <c r="F44" s="9">
        <f t="shared" si="1"/>
        <v>-152.37700000000001</v>
      </c>
    </row>
    <row r="45" spans="1:7" ht="0.75" hidden="1" customHeight="1">
      <c r="A45" s="16">
        <v>2020400000</v>
      </c>
      <c r="B45" s="17" t="s">
        <v>24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353</v>
      </c>
      <c r="C49" s="12">
        <v>224.8</v>
      </c>
      <c r="D49" s="10">
        <v>0</v>
      </c>
      <c r="E49" s="9">
        <f>SUM(D49/C49*100)</f>
        <v>0</v>
      </c>
      <c r="F49" s="9">
        <f>SUM(D49-C49)</f>
        <v>-224.8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28</v>
      </c>
      <c r="C51" s="372">
        <f>C39+C40</f>
        <v>6572.02</v>
      </c>
      <c r="D51" s="372">
        <f>SUM(D39,D40,)</f>
        <v>752.80953999999997</v>
      </c>
      <c r="E51" s="5">
        <f t="shared" si="0"/>
        <v>11.454766418848388</v>
      </c>
      <c r="F51" s="5">
        <f>SUM(D51-C51)</f>
        <v>-5819.2104600000002</v>
      </c>
      <c r="G51" s="293"/>
    </row>
    <row r="52" spans="1:7" s="6" customFormat="1">
      <c r="A52" s="3"/>
      <c r="B52" s="21" t="s">
        <v>321</v>
      </c>
      <c r="C52" s="372">
        <f>C51-C98</f>
        <v>0</v>
      </c>
      <c r="D52" s="372">
        <f>D51-D98</f>
        <v>208.86897999999997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60" customHeight="1">
      <c r="A54" s="28" t="s">
        <v>1</v>
      </c>
      <c r="B54" s="28" t="s">
        <v>29</v>
      </c>
      <c r="C54" s="243" t="s">
        <v>412</v>
      </c>
      <c r="D54" s="244" t="s">
        <v>418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1357.5060000000001</v>
      </c>
      <c r="D56" s="246">
        <f>D57+D58+D59+D60+D61+D63+D62</f>
        <v>141.98581000000001</v>
      </c>
      <c r="E56" s="34">
        <f>SUM(D56/C56*100)</f>
        <v>10.45931362365986</v>
      </c>
      <c r="F56" s="34">
        <f>SUM(D56-C56)</f>
        <v>-1215.5201900000002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1348</v>
      </c>
      <c r="D58" s="37">
        <v>137.48031</v>
      </c>
      <c r="E58" s="38">
        <f t="shared" ref="E58:E98" si="3">SUM(D58/C58*100)</f>
        <v>10.198836053412464</v>
      </c>
      <c r="F58" s="38">
        <f t="shared" ref="F58:F98" si="4">SUM(D58-C58)</f>
        <v>-1210.5196900000001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44</v>
      </c>
      <c r="B63" s="39" t="s">
        <v>45</v>
      </c>
      <c r="C63" s="37">
        <v>4.5060000000000002</v>
      </c>
      <c r="D63" s="37">
        <v>4.5054999999999996</v>
      </c>
      <c r="E63" s="38">
        <f t="shared" si="3"/>
        <v>99.988903683976901</v>
      </c>
      <c r="F63" s="38">
        <f t="shared" si="4"/>
        <v>-5.0000000000061107E-4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18.68656</v>
      </c>
      <c r="E64" s="34">
        <f>SUM(D64/C64*100)</f>
        <v>10.38765481511129</v>
      </c>
      <c r="F64" s="34">
        <f t="shared" si="4"/>
        <v>-161.20544000000001</v>
      </c>
    </row>
    <row r="65" spans="1:7">
      <c r="A65" s="43" t="s">
        <v>48</v>
      </c>
      <c r="B65" s="44" t="s">
        <v>49</v>
      </c>
      <c r="C65" s="37">
        <v>179.892</v>
      </c>
      <c r="D65" s="37">
        <v>18.68656</v>
      </c>
      <c r="E65" s="489">
        <f>SUM(D65/C65*100)</f>
        <v>10.38765481511129</v>
      </c>
      <c r="F65" s="38">
        <f t="shared" si="4"/>
        <v>-161.20544000000001</v>
      </c>
    </row>
    <row r="66" spans="1:7" s="6" customFormat="1" ht="18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</v>
      </c>
      <c r="E66" s="34">
        <f t="shared" si="3"/>
        <v>0</v>
      </c>
      <c r="F66" s="34">
        <f t="shared" si="4"/>
        <v>-6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438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58</v>
      </c>
      <c r="B72" s="31" t="s">
        <v>59</v>
      </c>
      <c r="C72" s="48">
        <f>C73+C74+C75+C76</f>
        <v>2487.2960000000003</v>
      </c>
      <c r="D72" s="48">
        <f>SUM(D73:D76)</f>
        <v>15.072100000000001</v>
      </c>
      <c r="E72" s="34">
        <f t="shared" si="3"/>
        <v>0.60596326291683822</v>
      </c>
      <c r="F72" s="34">
        <f t="shared" si="4"/>
        <v>-2472.2239000000004</v>
      </c>
    </row>
    <row r="73" spans="1:7" ht="15" customHeight="1">
      <c r="A73" s="35" t="s">
        <v>60</v>
      </c>
      <c r="B73" s="39" t="s">
        <v>61</v>
      </c>
      <c r="C73" s="49">
        <v>5.3620000000000001</v>
      </c>
      <c r="D73" s="37">
        <v>0</v>
      </c>
      <c r="E73" s="38">
        <f t="shared" si="3"/>
        <v>0</v>
      </c>
      <c r="F73" s="38">
        <f t="shared" si="4"/>
        <v>-5.3620000000000001</v>
      </c>
    </row>
    <row r="74" spans="1:7" s="6" customFormat="1" ht="15" customHeight="1">
      <c r="A74" s="35" t="s">
        <v>62</v>
      </c>
      <c r="B74" s="39" t="s">
        <v>63</v>
      </c>
      <c r="C74" s="49">
        <v>256</v>
      </c>
      <c r="D74" s="37">
        <v>0</v>
      </c>
      <c r="E74" s="38">
        <f t="shared" si="3"/>
        <v>0</v>
      </c>
      <c r="F74" s="38">
        <f t="shared" si="4"/>
        <v>-256</v>
      </c>
      <c r="G74" s="50"/>
    </row>
    <row r="75" spans="1:7">
      <c r="A75" s="35" t="s">
        <v>64</v>
      </c>
      <c r="B75" s="39" t="s">
        <v>65</v>
      </c>
      <c r="C75" s="49">
        <v>2175.9340000000002</v>
      </c>
      <c r="D75" s="37">
        <v>15.072100000000001</v>
      </c>
      <c r="E75" s="38">
        <f t="shared" si="3"/>
        <v>0.69267266378483905</v>
      </c>
      <c r="F75" s="38">
        <f t="shared" si="4"/>
        <v>-2160.8619000000003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8" customHeight="1">
      <c r="A77" s="30" t="s">
        <v>68</v>
      </c>
      <c r="B77" s="31" t="s">
        <v>69</v>
      </c>
      <c r="C77" s="32">
        <f>SUM(C78:C80)</f>
        <v>492.63799999999998</v>
      </c>
      <c r="D77" s="32">
        <f>SUM(D78:D80)</f>
        <v>9.5</v>
      </c>
      <c r="E77" s="34">
        <f t="shared" si="3"/>
        <v>1.928393668373126</v>
      </c>
      <c r="F77" s="34">
        <f t="shared" si="4"/>
        <v>-483.13799999999998</v>
      </c>
    </row>
    <row r="78" spans="1:7" ht="14.25" hidden="1" customHeight="1">
      <c r="A78" s="35" t="s">
        <v>70</v>
      </c>
      <c r="B78" s="51" t="s">
        <v>71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72</v>
      </c>
      <c r="B79" s="51" t="s">
        <v>73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74</v>
      </c>
      <c r="B80" s="39" t="s">
        <v>75</v>
      </c>
      <c r="C80" s="37">
        <v>492.63799999999998</v>
      </c>
      <c r="D80" s="37">
        <v>9.5</v>
      </c>
      <c r="E80" s="38">
        <f t="shared" si="3"/>
        <v>1.928393668373126</v>
      </c>
      <c r="F80" s="38">
        <f t="shared" si="4"/>
        <v>-483.13799999999998</v>
      </c>
    </row>
    <row r="81" spans="1:6" s="6" customFormat="1">
      <c r="A81" s="30" t="s">
        <v>86</v>
      </c>
      <c r="B81" s="31" t="s">
        <v>87</v>
      </c>
      <c r="C81" s="32">
        <f>C82</f>
        <v>2028.6880000000001</v>
      </c>
      <c r="D81" s="32">
        <f>D82</f>
        <v>358.69609000000003</v>
      </c>
      <c r="E81" s="34">
        <f>SUM(D81/C81*100)</f>
        <v>17.681185574124754</v>
      </c>
      <c r="F81" s="34">
        <f t="shared" si="4"/>
        <v>-1669.9919100000002</v>
      </c>
    </row>
    <row r="82" spans="1:6" ht="15.75" customHeight="1">
      <c r="A82" s="35" t="s">
        <v>88</v>
      </c>
      <c r="B82" s="39" t="s">
        <v>234</v>
      </c>
      <c r="C82" s="37">
        <v>2028.6880000000001</v>
      </c>
      <c r="D82" s="37">
        <v>358.69609000000003</v>
      </c>
      <c r="E82" s="38">
        <f>SUM(D82/C82*100)</f>
        <v>17.681185574124754</v>
      </c>
      <c r="F82" s="38">
        <f t="shared" si="4"/>
        <v>-1669.9919100000002</v>
      </c>
    </row>
    <row r="83" spans="1:6" s="6" customFormat="1" ht="1.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95</v>
      </c>
      <c r="B88" s="31" t="s">
        <v>96</v>
      </c>
      <c r="C88" s="32">
        <f>C89+C90+C91+C92+C93</f>
        <v>20</v>
      </c>
      <c r="D88" s="32">
        <f>D89+D90+D91+D92+D93</f>
        <v>0</v>
      </c>
      <c r="E88" s="38">
        <f t="shared" si="3"/>
        <v>0</v>
      </c>
      <c r="F88" s="22">
        <f>F89+F90+F91+F92+F93</f>
        <v>-20</v>
      </c>
    </row>
    <row r="89" spans="1:6" ht="18.75" customHeight="1">
      <c r="A89" s="35" t="s">
        <v>97</v>
      </c>
      <c r="B89" s="39" t="s">
        <v>98</v>
      </c>
      <c r="C89" s="37">
        <v>20</v>
      </c>
      <c r="D89" s="37">
        <v>0</v>
      </c>
      <c r="E89" s="38">
        <f t="shared" si="3"/>
        <v>0</v>
      </c>
      <c r="F89" s="38">
        <f>SUM(D89-C89)</f>
        <v>-20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119</v>
      </c>
      <c r="C98" s="376">
        <f>C56+C64+C66+C72+C77+C81+C83+C88+C94</f>
        <v>6572.02</v>
      </c>
      <c r="D98" s="376">
        <f>D56+D64+D66+D72+D77+D81+D83+D88+D94</f>
        <v>543.94056</v>
      </c>
      <c r="E98" s="34">
        <f t="shared" si="3"/>
        <v>8.2766114527953345</v>
      </c>
      <c r="F98" s="34">
        <f t="shared" si="4"/>
        <v>-6028.0794400000004</v>
      </c>
      <c r="G98" s="293"/>
    </row>
    <row r="99" spans="1:7" ht="0.75" customHeight="1">
      <c r="C99" s="126"/>
      <c r="D99" s="101"/>
    </row>
    <row r="100" spans="1:7" s="65" customFormat="1" ht="16.5" customHeight="1">
      <c r="A100" s="63" t="s">
        <v>120</v>
      </c>
      <c r="B100" s="63"/>
      <c r="C100" s="249"/>
      <c r="D100" s="249"/>
    </row>
    <row r="101" spans="1:7" s="65" customFormat="1" ht="20.25" customHeight="1">
      <c r="A101" s="66" t="s">
        <v>121</v>
      </c>
      <c r="B101" s="66"/>
      <c r="C101" s="65" t="s">
        <v>122</v>
      </c>
    </row>
    <row r="102" spans="1:7" ht="13.5" customHeight="1">
      <c r="C102" s="120"/>
    </row>
    <row r="103" spans="1:7" ht="5.25" customHeight="1"/>
    <row r="143" hidden="1"/>
  </sheetData>
  <customSheetViews>
    <customSheetView guid="{37D0E254-14A1-48DF-98B1-097427A51078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4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5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70" hiddenRows="1" view="pageBreakPreview" topLeftCell="A44">
      <selection activeCell="G99" sqref="G99"/>
      <pageMargins left="0.7" right="0.7" top="0.75" bottom="0.75" header="0.3" footer="0.3"/>
      <pageSetup paperSize="9" scale="49" orientation="portrait" r:id="rId8"/>
    </customSheetView>
    <customSheetView guid="{B30CE22D-C12F-4E12-8BB9-3AAE0A6991CC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3"/>
  <sheetViews>
    <sheetView view="pageBreakPreview" topLeftCell="A27" zoomScale="70" zoomScaleNormal="100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0" t="s">
        <v>430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1489.3039999999999</v>
      </c>
      <c r="D4" s="5">
        <f>D5+D12+D14+D17+D20+D7</f>
        <v>203.39819</v>
      </c>
      <c r="E4" s="5">
        <f>SUM(D4/C4*100)</f>
        <v>13.657264735742332</v>
      </c>
      <c r="F4" s="5">
        <f>SUM(D4-C4)</f>
        <v>-1285.9058099999997</v>
      </c>
    </row>
    <row r="5" spans="1:6" s="6" customFormat="1">
      <c r="A5" s="68">
        <v>1010000000</v>
      </c>
      <c r="B5" s="67" t="s">
        <v>6</v>
      </c>
      <c r="C5" s="5">
        <f>C6</f>
        <v>105.069</v>
      </c>
      <c r="D5" s="408">
        <f>D6</f>
        <v>15.027509999999999</v>
      </c>
      <c r="E5" s="5">
        <f t="shared" ref="E5:E51" si="0">SUM(D5/C5*100)</f>
        <v>14.302515489820975</v>
      </c>
      <c r="F5" s="5">
        <f t="shared" ref="F5:F51" si="1">SUM(D5-C5)</f>
        <v>-90.04149000000001</v>
      </c>
    </row>
    <row r="6" spans="1:6">
      <c r="A6" s="7">
        <v>1010200001</v>
      </c>
      <c r="B6" s="8" t="s">
        <v>229</v>
      </c>
      <c r="C6" s="9">
        <v>105.069</v>
      </c>
      <c r="D6" s="10">
        <v>15.027509999999999</v>
      </c>
      <c r="E6" s="9">
        <f t="shared" ref="E6:E11" si="2">SUM(D6/C6*100)</f>
        <v>14.302515489820975</v>
      </c>
      <c r="F6" s="9">
        <f t="shared" si="1"/>
        <v>-90.04149000000001</v>
      </c>
    </row>
    <row r="7" spans="1:6" ht="31.5">
      <c r="A7" s="3">
        <v>1030000000</v>
      </c>
      <c r="B7" s="13" t="s">
        <v>281</v>
      </c>
      <c r="C7" s="5">
        <f>C8+C10+C9</f>
        <v>726.2349999999999</v>
      </c>
      <c r="D7" s="342">
        <f>D8+D10+D9+D11</f>
        <v>147.94412</v>
      </c>
      <c r="E7" s="5">
        <f t="shared" si="2"/>
        <v>20.371383918428609</v>
      </c>
      <c r="F7" s="5">
        <f t="shared" si="1"/>
        <v>-578.2908799999999</v>
      </c>
    </row>
    <row r="8" spans="1:6">
      <c r="A8" s="7">
        <v>1030223001</v>
      </c>
      <c r="B8" s="8" t="s">
        <v>283</v>
      </c>
      <c r="C8" s="9">
        <v>270.89</v>
      </c>
      <c r="D8" s="10">
        <v>65.527839999999998</v>
      </c>
      <c r="E8" s="9">
        <f t="shared" si="2"/>
        <v>24.189833511757541</v>
      </c>
      <c r="F8" s="9">
        <f t="shared" si="1"/>
        <v>-205.36215999999999</v>
      </c>
    </row>
    <row r="9" spans="1:6">
      <c r="A9" s="7">
        <v>1030224001</v>
      </c>
      <c r="B9" s="8" t="s">
        <v>289</v>
      </c>
      <c r="C9" s="9">
        <v>2.9049999999999998</v>
      </c>
      <c r="D9" s="10">
        <v>0.44463999999999998</v>
      </c>
      <c r="E9" s="9">
        <f>SUM(D9/C9*100)</f>
        <v>15.306024096385542</v>
      </c>
      <c r="F9" s="9">
        <f t="shared" si="1"/>
        <v>-2.4603599999999997</v>
      </c>
    </row>
    <row r="10" spans="1:6">
      <c r="A10" s="7">
        <v>1030225001</v>
      </c>
      <c r="B10" s="8" t="s">
        <v>282</v>
      </c>
      <c r="C10" s="9">
        <v>452.44</v>
      </c>
      <c r="D10" s="10">
        <v>96.247399999999999</v>
      </c>
      <c r="E10" s="9">
        <f t="shared" si="2"/>
        <v>21.272964370966317</v>
      </c>
      <c r="F10" s="9">
        <f t="shared" si="1"/>
        <v>-356.19259999999997</v>
      </c>
    </row>
    <row r="11" spans="1:6">
      <c r="A11" s="7">
        <v>1030226001</v>
      </c>
      <c r="B11" s="8" t="s">
        <v>291</v>
      </c>
      <c r="C11" s="9">
        <v>0</v>
      </c>
      <c r="D11" s="10">
        <v>-14.27576</v>
      </c>
      <c r="E11" s="9" t="e">
        <f t="shared" si="2"/>
        <v>#DIV/0!</v>
      </c>
      <c r="F11" s="9">
        <f t="shared" si="1"/>
        <v>-14.27576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0</v>
      </c>
      <c r="E12" s="5">
        <f t="shared" si="0"/>
        <v>0</v>
      </c>
      <c r="F12" s="5">
        <f t="shared" si="1"/>
        <v>-25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438">
        <v>0</v>
      </c>
      <c r="E13" s="9">
        <f t="shared" si="0"/>
        <v>0</v>
      </c>
      <c r="F13" s="9">
        <f t="shared" si="1"/>
        <v>-25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623</v>
      </c>
      <c r="D14" s="342">
        <f>D15+D16</f>
        <v>37.526559999999996</v>
      </c>
      <c r="E14" s="5">
        <f t="shared" si="0"/>
        <v>6.0235248796147669</v>
      </c>
      <c r="F14" s="5">
        <f t="shared" si="1"/>
        <v>-585.47343999999998</v>
      </c>
    </row>
    <row r="15" spans="1:6" s="6" customFormat="1" ht="15.75" customHeight="1">
      <c r="A15" s="7">
        <v>1060100000</v>
      </c>
      <c r="B15" s="11" t="s">
        <v>9</v>
      </c>
      <c r="C15" s="9">
        <v>153</v>
      </c>
      <c r="D15" s="10">
        <v>4.7229999999999999</v>
      </c>
      <c r="E15" s="9">
        <f t="shared" si="0"/>
        <v>3.0869281045751635</v>
      </c>
      <c r="F15" s="9">
        <f>SUM(D15-C15)</f>
        <v>-148.27699999999999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32.803559999999997</v>
      </c>
      <c r="E16" s="9">
        <f t="shared" si="0"/>
        <v>6.9794808510638298</v>
      </c>
      <c r="F16" s="9">
        <f t="shared" si="1"/>
        <v>-437.19644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390">
        <f>D18</f>
        <v>2.9</v>
      </c>
      <c r="E17" s="5">
        <f t="shared" si="0"/>
        <v>28.999999999999996</v>
      </c>
      <c r="F17" s="5">
        <f t="shared" si="1"/>
        <v>-7.1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2.9</v>
      </c>
      <c r="E18" s="9">
        <f t="shared" si="0"/>
        <v>28.999999999999996</v>
      </c>
      <c r="F18" s="9">
        <f t="shared" si="1"/>
        <v>-7.1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354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350</v>
      </c>
      <c r="D25" s="5">
        <f>D26+D29+D32+D37+D35</f>
        <v>25.41085</v>
      </c>
      <c r="E25" s="5">
        <f t="shared" si="0"/>
        <v>7.260242857142857</v>
      </c>
      <c r="F25" s="5">
        <f t="shared" si="1"/>
        <v>-324.58915000000002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350</v>
      </c>
      <c r="D26" s="5">
        <f>D27+D28</f>
        <v>17.826699999999999</v>
      </c>
      <c r="E26" s="5">
        <f t="shared" si="0"/>
        <v>5.0933428571428569</v>
      </c>
      <c r="F26" s="5">
        <f t="shared" si="1"/>
        <v>-332.17329999999998</v>
      </c>
    </row>
    <row r="27" spans="1:6">
      <c r="A27" s="16">
        <v>1110502510</v>
      </c>
      <c r="B27" s="17" t="s">
        <v>226</v>
      </c>
      <c r="C27" s="12">
        <v>300</v>
      </c>
      <c r="D27" s="438">
        <v>16.739999999999998</v>
      </c>
      <c r="E27" s="9">
        <f t="shared" si="0"/>
        <v>5.5799999999999992</v>
      </c>
      <c r="F27" s="9">
        <f t="shared" si="1"/>
        <v>-283.26</v>
      </c>
    </row>
    <row r="28" spans="1:6" ht="18" customHeight="1">
      <c r="A28" s="7">
        <v>1110503505</v>
      </c>
      <c r="B28" s="11" t="s">
        <v>225</v>
      </c>
      <c r="C28" s="12">
        <v>50</v>
      </c>
      <c r="D28" s="438">
        <v>1.0867</v>
      </c>
      <c r="E28" s="9">
        <f t="shared" si="0"/>
        <v>2.1734</v>
      </c>
      <c r="F28" s="9">
        <f t="shared" si="1"/>
        <v>-48.9133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0</v>
      </c>
      <c r="D29" s="5">
        <f>D30+D31</f>
        <v>7.5841500000000002</v>
      </c>
      <c r="E29" s="5" t="e">
        <f t="shared" si="0"/>
        <v>#DIV/0!</v>
      </c>
      <c r="F29" s="5">
        <f t="shared" si="1"/>
        <v>7.5841500000000002</v>
      </c>
    </row>
    <row r="30" spans="1:6" ht="15.75" customHeight="1">
      <c r="A30" s="7">
        <v>1130206510</v>
      </c>
      <c r="B30" s="8" t="s">
        <v>338</v>
      </c>
      <c r="C30" s="9">
        <v>0</v>
      </c>
      <c r="D30" s="320">
        <v>7.5841500000000002</v>
      </c>
      <c r="E30" s="9" t="e">
        <f t="shared" si="0"/>
        <v>#DIV/0!</v>
      </c>
      <c r="F30" s="9">
        <f t="shared" si="1"/>
        <v>7.5841500000000002</v>
      </c>
    </row>
    <row r="31" spans="1:6" ht="17.25" customHeight="1">
      <c r="A31" s="7">
        <v>1130299510</v>
      </c>
      <c r="B31" s="8" t="s">
        <v>355</v>
      </c>
      <c r="C31" s="9">
        <v>0</v>
      </c>
      <c r="D31" s="320">
        <v>0</v>
      </c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1839.3039999999999</v>
      </c>
      <c r="D40" s="127">
        <f>D4+D25</f>
        <v>228.80904000000001</v>
      </c>
      <c r="E40" s="5">
        <f t="shared" si="0"/>
        <v>12.439979470495363</v>
      </c>
      <c r="F40" s="5">
        <f t="shared" si="1"/>
        <v>-1610.4949599999998</v>
      </c>
    </row>
    <row r="41" spans="1:7" s="6" customFormat="1">
      <c r="A41" s="3">
        <v>2000000000</v>
      </c>
      <c r="B41" s="4" t="s">
        <v>20</v>
      </c>
      <c r="C41" s="5">
        <f>C42+C43+C44+C45+C46+C48</f>
        <v>4298.4986099999996</v>
      </c>
      <c r="D41" s="5">
        <f>D42+D43+D44+D45+D46+D48+D49</f>
        <v>267.10000000000002</v>
      </c>
      <c r="E41" s="5">
        <f t="shared" si="0"/>
        <v>6.2137975194087609</v>
      </c>
      <c r="F41" s="5">
        <f t="shared" si="1"/>
        <v>-4031.3986099999997</v>
      </c>
      <c r="G41" s="19"/>
    </row>
    <row r="42" spans="1:7">
      <c r="A42" s="16">
        <v>2021000000</v>
      </c>
      <c r="B42" s="17" t="s">
        <v>21</v>
      </c>
      <c r="C42" s="99">
        <v>1424.6</v>
      </c>
      <c r="D42" s="99">
        <v>237.434</v>
      </c>
      <c r="E42" s="9">
        <f t="shared" si="0"/>
        <v>16.66671346342833</v>
      </c>
      <c r="F42" s="9">
        <f t="shared" si="1"/>
        <v>-1187.1659999999999</v>
      </c>
    </row>
    <row r="43" spans="1:7" ht="15.75" customHeight="1">
      <c r="A43" s="16">
        <v>2021500200</v>
      </c>
      <c r="B43" s="17" t="s">
        <v>232</v>
      </c>
      <c r="C43" s="99">
        <v>260</v>
      </c>
      <c r="D43" s="20">
        <v>0</v>
      </c>
      <c r="E43" s="9">
        <f>SUM(D43/C43*100)</f>
        <v>0</v>
      </c>
      <c r="F43" s="9">
        <f>SUM(D43-C43)</f>
        <v>-260</v>
      </c>
    </row>
    <row r="44" spans="1:7">
      <c r="A44" s="16">
        <v>2022000000</v>
      </c>
      <c r="B44" s="17" t="s">
        <v>22</v>
      </c>
      <c r="C44" s="99">
        <v>1924.0509999999999</v>
      </c>
      <c r="D44" s="10">
        <v>0</v>
      </c>
      <c r="E44" s="9">
        <f t="shared" si="0"/>
        <v>0</v>
      </c>
      <c r="F44" s="9">
        <f t="shared" si="1"/>
        <v>-1924.0509999999999</v>
      </c>
    </row>
    <row r="45" spans="1:7" ht="18" customHeight="1">
      <c r="A45" s="16">
        <v>2023000000</v>
      </c>
      <c r="B45" s="17" t="s">
        <v>23</v>
      </c>
      <c r="C45" s="12">
        <v>181.68199999999999</v>
      </c>
      <c r="D45" s="251">
        <v>29.666</v>
      </c>
      <c r="E45" s="9">
        <f t="shared" si="0"/>
        <v>16.328530069021699</v>
      </c>
      <c r="F45" s="9">
        <f t="shared" si="1"/>
        <v>-152.01599999999999</v>
      </c>
    </row>
    <row r="46" spans="1:7" ht="22.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353</v>
      </c>
      <c r="C48" s="12">
        <v>508.16561000000002</v>
      </c>
      <c r="D48" s="252">
        <v>0</v>
      </c>
      <c r="E48" s="9">
        <f t="shared" si="0"/>
        <v>0</v>
      </c>
      <c r="F48" s="9">
        <f t="shared" si="1"/>
        <v>-508.16561000000002</v>
      </c>
    </row>
    <row r="49" spans="1:8" ht="19.5" customHeight="1">
      <c r="A49" s="7">
        <v>2190500005</v>
      </c>
      <c r="B49" s="11" t="s">
        <v>26</v>
      </c>
      <c r="C49" s="12">
        <v>0</v>
      </c>
      <c r="D49" s="252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72">
        <f>C40+C41</f>
        <v>6137.8026099999997</v>
      </c>
      <c r="D51" s="372">
        <f>D40+D41</f>
        <v>495.90904</v>
      </c>
      <c r="E51" s="93">
        <f t="shared" si="0"/>
        <v>8.0795859937242263</v>
      </c>
      <c r="F51" s="93">
        <f t="shared" si="1"/>
        <v>-5641.8935700000002</v>
      </c>
      <c r="G51" s="293"/>
      <c r="H51" s="293"/>
    </row>
    <row r="52" spans="1:8" s="6" customFormat="1">
      <c r="A52" s="3"/>
      <c r="B52" s="21" t="s">
        <v>321</v>
      </c>
      <c r="C52" s="93">
        <f>C51-C99</f>
        <v>-152.00000000000091</v>
      </c>
      <c r="D52" s="93">
        <f>D51-D99</f>
        <v>123.34375</v>
      </c>
      <c r="E52" s="281"/>
      <c r="F52" s="281"/>
    </row>
    <row r="53" spans="1:8">
      <c r="A53" s="23"/>
      <c r="B53" s="24"/>
      <c r="C53" s="250"/>
      <c r="D53" s="250"/>
      <c r="E53" s="26"/>
      <c r="F53" s="27"/>
    </row>
    <row r="54" spans="1:8" ht="45" customHeight="1">
      <c r="A54" s="28" t="s">
        <v>1</v>
      </c>
      <c r="B54" s="28" t="s">
        <v>29</v>
      </c>
      <c r="C54" s="243" t="s">
        <v>412</v>
      </c>
      <c r="D54" s="244" t="s">
        <v>418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1066.4089999999999</v>
      </c>
      <c r="D56" s="33">
        <f>D57+D58+D59+D60+D61+D63+D62</f>
        <v>108.52608000000001</v>
      </c>
      <c r="E56" s="34">
        <f>SUM(D56/C56*100)</f>
        <v>10.176778328014862</v>
      </c>
      <c r="F56" s="34">
        <f>SUM(D56-C56)</f>
        <v>-957.8829199999999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1056.2149999999999</v>
      </c>
      <c r="D58" s="37">
        <v>103.33208</v>
      </c>
      <c r="E58" s="38">
        <f t="shared" ref="E58:E99" si="3">SUM(D58/C58*100)</f>
        <v>9.783242995034156</v>
      </c>
      <c r="F58" s="38">
        <f t="shared" ref="F58:F99" si="4">SUM(D58-C58)</f>
        <v>-952.8829199999999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5.194</v>
      </c>
      <c r="D63" s="37">
        <v>5.194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179.892</v>
      </c>
      <c r="D64" s="32">
        <f>D65</f>
        <v>19.183409999999999</v>
      </c>
      <c r="E64" s="34">
        <f t="shared" si="3"/>
        <v>10.66384830898539</v>
      </c>
      <c r="F64" s="34">
        <f t="shared" si="4"/>
        <v>-160.70858999999999</v>
      </c>
    </row>
    <row r="65" spans="1:7">
      <c r="A65" s="43" t="s">
        <v>48</v>
      </c>
      <c r="B65" s="44" t="s">
        <v>49</v>
      </c>
      <c r="C65" s="37">
        <v>179.892</v>
      </c>
      <c r="D65" s="37">
        <v>19.183409999999999</v>
      </c>
      <c r="E65" s="38">
        <f t="shared" si="3"/>
        <v>10.66384830898539</v>
      </c>
      <c r="F65" s="38">
        <f t="shared" si="4"/>
        <v>-160.70858999999999</v>
      </c>
    </row>
    <row r="66" spans="1:7" s="6" customFormat="1" ht="15" customHeight="1">
      <c r="A66" s="30" t="s">
        <v>50</v>
      </c>
      <c r="B66" s="31" t="s">
        <v>51</v>
      </c>
      <c r="C66" s="32">
        <f>C69+C70+C71</f>
        <v>24.2</v>
      </c>
      <c r="D66" s="424">
        <f>D69+D70</f>
        <v>0</v>
      </c>
      <c r="E66" s="34">
        <f t="shared" si="3"/>
        <v>0</v>
      </c>
      <c r="F66" s="34">
        <f t="shared" si="4"/>
        <v>-24.2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219</v>
      </c>
      <c r="B70" s="47" t="s">
        <v>220</v>
      </c>
      <c r="C70" s="37">
        <v>22</v>
      </c>
      <c r="D70" s="37">
        <v>0</v>
      </c>
      <c r="E70" s="34">
        <f t="shared" si="3"/>
        <v>0</v>
      </c>
      <c r="F70" s="34">
        <f t="shared" si="4"/>
        <v>-22</v>
      </c>
    </row>
    <row r="71" spans="1:7" ht="15.75" customHeight="1">
      <c r="A71" s="46" t="s">
        <v>358</v>
      </c>
      <c r="B71" s="47" t="s">
        <v>438</v>
      </c>
      <c r="C71" s="37">
        <v>2</v>
      </c>
      <c r="D71" s="37"/>
      <c r="E71" s="34"/>
      <c r="F71" s="34"/>
    </row>
    <row r="72" spans="1:7" s="6" customFormat="1" ht="18.75" customHeight="1">
      <c r="A72" s="30" t="s">
        <v>58</v>
      </c>
      <c r="B72" s="31" t="s">
        <v>59</v>
      </c>
      <c r="C72" s="48">
        <f>SUM(C73:C77)</f>
        <v>3427.4731099999999</v>
      </c>
      <c r="D72" s="48">
        <f>SUM(D73:D77)</f>
        <v>38.559800000000003</v>
      </c>
      <c r="E72" s="34">
        <f t="shared" si="3"/>
        <v>1.1250212259141548</v>
      </c>
      <c r="F72" s="34">
        <f t="shared" si="4"/>
        <v>-3388.9133099999999</v>
      </c>
    </row>
    <row r="73" spans="1:7" ht="15" customHeight="1">
      <c r="A73" s="35" t="s">
        <v>60</v>
      </c>
      <c r="B73" s="39" t="s">
        <v>61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62</v>
      </c>
      <c r="B74" s="39" t="s">
        <v>63</v>
      </c>
      <c r="C74" s="49">
        <v>100</v>
      </c>
      <c r="D74" s="37">
        <v>0</v>
      </c>
      <c r="E74" s="38">
        <f t="shared" si="3"/>
        <v>0</v>
      </c>
      <c r="F74" s="38">
        <f t="shared" si="4"/>
        <v>-100</v>
      </c>
      <c r="G74" s="50"/>
    </row>
    <row r="75" spans="1:7" s="6" customFormat="1" ht="15" hidden="1" customHeight="1">
      <c r="A75" s="35" t="s">
        <v>62</v>
      </c>
      <c r="B75" s="39" t="s">
        <v>63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64</v>
      </c>
      <c r="B76" s="39" t="s">
        <v>65</v>
      </c>
      <c r="C76" s="49">
        <v>3308.4516100000001</v>
      </c>
      <c r="D76" s="37">
        <v>38.559800000000003</v>
      </c>
      <c r="E76" s="38">
        <f t="shared" si="3"/>
        <v>1.1654938486466182</v>
      </c>
      <c r="F76" s="38">
        <f t="shared" si="4"/>
        <v>-3269.8918100000001</v>
      </c>
    </row>
    <row r="77" spans="1:7">
      <c r="A77" s="35" t="s">
        <v>66</v>
      </c>
      <c r="B77" s="39" t="s">
        <v>67</v>
      </c>
      <c r="C77" s="49">
        <v>15</v>
      </c>
      <c r="D77" s="37">
        <v>0</v>
      </c>
      <c r="E77" s="38">
        <f t="shared" si="3"/>
        <v>0</v>
      </c>
      <c r="F77" s="38">
        <f t="shared" si="4"/>
        <v>-15</v>
      </c>
    </row>
    <row r="78" spans="1:7" s="6" customFormat="1" ht="17.25" customHeight="1">
      <c r="A78" s="30" t="s">
        <v>68</v>
      </c>
      <c r="B78" s="31" t="s">
        <v>69</v>
      </c>
      <c r="C78" s="32">
        <f>SUM(C79:C81)</f>
        <v>329.7285</v>
      </c>
      <c r="D78" s="32">
        <f>SUM(D79:D81)</f>
        <v>0</v>
      </c>
      <c r="E78" s="34">
        <f t="shared" si="3"/>
        <v>0</v>
      </c>
      <c r="F78" s="34">
        <f t="shared" si="4"/>
        <v>-329.7285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329.7285</v>
      </c>
      <c r="D81" s="37">
        <v>0</v>
      </c>
      <c r="E81" s="38">
        <f t="shared" si="3"/>
        <v>0</v>
      </c>
      <c r="F81" s="38">
        <f t="shared" si="4"/>
        <v>-329.7285</v>
      </c>
    </row>
    <row r="82" spans="1:6" s="6" customFormat="1">
      <c r="A82" s="30" t="s">
        <v>86</v>
      </c>
      <c r="B82" s="31" t="s">
        <v>87</v>
      </c>
      <c r="C82" s="32">
        <f>C83</f>
        <v>1260.0999999999999</v>
      </c>
      <c r="D82" s="32">
        <f>D83</f>
        <v>206.29599999999999</v>
      </c>
      <c r="E82" s="34">
        <f t="shared" si="3"/>
        <v>16.371399095309897</v>
      </c>
      <c r="F82" s="34">
        <f t="shared" si="4"/>
        <v>-1053.8039999999999</v>
      </c>
    </row>
    <row r="83" spans="1:6" ht="40.5" customHeight="1">
      <c r="A83" s="35" t="s">
        <v>88</v>
      </c>
      <c r="B83" s="39" t="s">
        <v>234</v>
      </c>
      <c r="C83" s="37">
        <v>1260.0999999999999</v>
      </c>
      <c r="D83" s="37">
        <v>206.29599999999999</v>
      </c>
      <c r="E83" s="38">
        <f t="shared" si="3"/>
        <v>16.371399095309897</v>
      </c>
      <c r="F83" s="38">
        <f t="shared" si="4"/>
        <v>-1053.8039999999999</v>
      </c>
    </row>
    <row r="84" spans="1:6" s="6" customFormat="1" ht="21.75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customHeight="1">
      <c r="A85" s="53">
        <v>1001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customHeight="1">
      <c r="A89" s="30" t="s">
        <v>95</v>
      </c>
      <c r="B89" s="31" t="s">
        <v>96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97</v>
      </c>
      <c r="B90" s="39" t="s">
        <v>98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22.5" hidden="1" customHeight="1">
      <c r="A95" s="52">
        <v>1400</v>
      </c>
      <c r="B95" s="56" t="s">
        <v>115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customHeight="1">
      <c r="A97" s="30" t="s">
        <v>95</v>
      </c>
      <c r="B97" s="31" t="s">
        <v>96</v>
      </c>
      <c r="C97" s="48">
        <f>C98</f>
        <v>2</v>
      </c>
      <c r="D97" s="32">
        <f>D98</f>
        <v>0</v>
      </c>
      <c r="E97" s="34">
        <f t="shared" si="3"/>
        <v>0</v>
      </c>
      <c r="F97" s="34">
        <f t="shared" si="4"/>
        <v>-2</v>
      </c>
    </row>
    <row r="98" spans="1:7" ht="18" customHeight="1">
      <c r="A98" s="35" t="s">
        <v>97</v>
      </c>
      <c r="B98" s="39" t="s">
        <v>98</v>
      </c>
      <c r="C98" s="49">
        <v>2</v>
      </c>
      <c r="D98" s="37">
        <v>0</v>
      </c>
      <c r="E98" s="38">
        <f t="shared" si="3"/>
        <v>0</v>
      </c>
      <c r="F98" s="38">
        <f t="shared" si="4"/>
        <v>-2</v>
      </c>
    </row>
    <row r="99" spans="1:7" s="6" customFormat="1">
      <c r="A99" s="52"/>
      <c r="B99" s="57" t="s">
        <v>119</v>
      </c>
      <c r="C99" s="376">
        <f>C56+C64+C66+C72+C78+C82+C97+C84</f>
        <v>6289.8026100000006</v>
      </c>
      <c r="D99" s="376">
        <f>D56+D64+D66+D72+D78+D82+D97+D84</f>
        <v>372.56529</v>
      </c>
      <c r="E99" s="34">
        <f t="shared" si="3"/>
        <v>5.9233224490648997</v>
      </c>
      <c r="F99" s="34">
        <f t="shared" si="4"/>
        <v>-5917.2373200000002</v>
      </c>
      <c r="G99" s="293"/>
    </row>
    <row r="100" spans="1:7" ht="16.5" customHeight="1">
      <c r="C100" s="126"/>
      <c r="D100" s="101"/>
    </row>
    <row r="101" spans="1:7" s="65" customFormat="1" ht="20.25" customHeight="1">
      <c r="A101" s="63" t="s">
        <v>120</v>
      </c>
      <c r="B101" s="63"/>
      <c r="C101" s="116"/>
      <c r="D101" s="64" t="s">
        <v>275</v>
      </c>
    </row>
    <row r="102" spans="1:7" s="65" customFormat="1" ht="13.5" customHeight="1">
      <c r="A102" s="66" t="s">
        <v>121</v>
      </c>
      <c r="B102" s="66"/>
      <c r="C102" s="65" t="s">
        <v>122</v>
      </c>
    </row>
    <row r="104" spans="1:7" ht="5.25" customHeight="1"/>
    <row r="143" hidden="1"/>
  </sheetData>
  <customSheetViews>
    <customSheetView guid="{37D0E254-14A1-48DF-98B1-097427A51078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4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7"/>
    </customSheetView>
    <customSheetView guid="{1A52382B-3765-4E8C-903F-6B8919B7242E}" scale="70" printArea="1" hiddenRows="1" view="pageBreakPreview" topLeftCell="A58">
      <selection activeCell="D97" sqref="D97"/>
      <pageMargins left="0.7" right="0.7" top="0.75" bottom="0.75" header="0.3" footer="0.3"/>
      <pageSetup paperSize="9" scale="48" orientation="portrait" r:id="rId8"/>
    </customSheetView>
    <customSheetView guid="{B30CE22D-C12F-4E12-8BB9-3AAE0A6991CC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view="pageBreakPreview" topLeftCell="A13" zoomScale="70" zoomScaleNormal="100" zoomScaleSheetLayoutView="70" workbookViewId="0">
      <selection activeCell="D86" sqref="D86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431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997.29200000000003</v>
      </c>
      <c r="D4" s="5">
        <f>D5+D12+D14+D17+D7</f>
        <v>123.93474000000001</v>
      </c>
      <c r="E4" s="5">
        <f>SUM(D4/C4*100)</f>
        <v>12.427126658992552</v>
      </c>
      <c r="F4" s="5">
        <f>SUM(D4-C4)</f>
        <v>-873.35726</v>
      </c>
    </row>
    <row r="5" spans="1:6" s="6" customFormat="1">
      <c r="A5" s="68">
        <v>1010000000</v>
      </c>
      <c r="B5" s="67" t="s">
        <v>6</v>
      </c>
      <c r="C5" s="5">
        <f>C6</f>
        <v>79.421999999999997</v>
      </c>
      <c r="D5" s="5">
        <f>D6</f>
        <v>2.2951899999999998</v>
      </c>
      <c r="E5" s="5">
        <f t="shared" ref="E5:E49" si="0">SUM(D5/C5*100)</f>
        <v>2.8898667875399764</v>
      </c>
      <c r="F5" s="5">
        <f t="shared" ref="F5:F49" si="1">SUM(D5-C5)</f>
        <v>-77.126809999999992</v>
      </c>
    </row>
    <row r="6" spans="1:6">
      <c r="A6" s="7">
        <v>1010200001</v>
      </c>
      <c r="B6" s="8" t="s">
        <v>229</v>
      </c>
      <c r="C6" s="9">
        <v>79.421999999999997</v>
      </c>
      <c r="D6" s="10">
        <v>2.2951899999999998</v>
      </c>
      <c r="E6" s="9">
        <f t="shared" ref="E6:E11" si="2">SUM(D6/C6*100)</f>
        <v>2.8898667875399764</v>
      </c>
      <c r="F6" s="9">
        <f t="shared" si="1"/>
        <v>-77.126809999999992</v>
      </c>
    </row>
    <row r="7" spans="1:6" ht="31.5">
      <c r="A7" s="3">
        <v>1030000000</v>
      </c>
      <c r="B7" s="13" t="s">
        <v>281</v>
      </c>
      <c r="C7" s="5">
        <f>C8+C10+C9</f>
        <v>331.87</v>
      </c>
      <c r="D7" s="5">
        <f>D8+D10+D9+D11</f>
        <v>67.60651</v>
      </c>
      <c r="E7" s="5">
        <f t="shared" si="2"/>
        <v>20.371383373007504</v>
      </c>
      <c r="F7" s="5">
        <f t="shared" si="1"/>
        <v>-264.26348999999999</v>
      </c>
    </row>
    <row r="8" spans="1:6">
      <c r="A8" s="7">
        <v>1030223001</v>
      </c>
      <c r="B8" s="8" t="s">
        <v>283</v>
      </c>
      <c r="C8" s="9">
        <v>123.79</v>
      </c>
      <c r="D8" s="10">
        <v>29.944479999999999</v>
      </c>
      <c r="E8" s="9">
        <f t="shared" si="2"/>
        <v>24.189740689878018</v>
      </c>
      <c r="F8" s="9">
        <f t="shared" si="1"/>
        <v>-93.845520000000008</v>
      </c>
    </row>
    <row r="9" spans="1:6">
      <c r="A9" s="7">
        <v>1030224001</v>
      </c>
      <c r="B9" s="8" t="s">
        <v>289</v>
      </c>
      <c r="C9" s="9">
        <v>1.33</v>
      </c>
      <c r="D9" s="10">
        <v>0.20316000000000001</v>
      </c>
      <c r="E9" s="9">
        <f t="shared" si="2"/>
        <v>15.275187969924811</v>
      </c>
      <c r="F9" s="9">
        <f t="shared" si="1"/>
        <v>-1.1268400000000001</v>
      </c>
    </row>
    <row r="10" spans="1:6">
      <c r="A10" s="7">
        <v>1030225001</v>
      </c>
      <c r="B10" s="8" t="s">
        <v>282</v>
      </c>
      <c r="C10" s="9">
        <v>206.75</v>
      </c>
      <c r="D10" s="10">
        <v>43.982500000000002</v>
      </c>
      <c r="E10" s="9">
        <f t="shared" si="2"/>
        <v>21.273276904474002</v>
      </c>
      <c r="F10" s="9">
        <f t="shared" si="1"/>
        <v>-162.76749999999998</v>
      </c>
    </row>
    <row r="11" spans="1:6">
      <c r="A11" s="7">
        <v>1030226001</v>
      </c>
      <c r="B11" s="8" t="s">
        <v>291</v>
      </c>
      <c r="C11" s="9">
        <v>0</v>
      </c>
      <c r="D11" s="10">
        <v>-6.5236299999999998</v>
      </c>
      <c r="E11" s="9" t="e">
        <f t="shared" si="2"/>
        <v>#DIV/0!</v>
      </c>
      <c r="F11" s="9">
        <f t="shared" si="1"/>
        <v>-6.5236299999999998</v>
      </c>
    </row>
    <row r="12" spans="1:6" s="6" customFormat="1">
      <c r="A12" s="68">
        <v>1050000000</v>
      </c>
      <c r="B12" s="67" t="s">
        <v>7</v>
      </c>
      <c r="C12" s="5">
        <f>SUM(C13:C13)</f>
        <v>5</v>
      </c>
      <c r="D12" s="5">
        <f>SUM(D13:D13)</f>
        <v>1.6605000000000001</v>
      </c>
      <c r="E12" s="5">
        <f t="shared" si="0"/>
        <v>33.21</v>
      </c>
      <c r="F12" s="5">
        <f t="shared" si="1"/>
        <v>-3.3395000000000001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1.6605000000000001</v>
      </c>
      <c r="E13" s="9">
        <f t="shared" si="0"/>
        <v>33.21</v>
      </c>
      <c r="F13" s="9">
        <f t="shared" si="1"/>
        <v>-3.3395000000000001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571</v>
      </c>
      <c r="D14" s="5">
        <f>D15+D16</f>
        <v>51.772539999999999</v>
      </c>
      <c r="E14" s="5">
        <f t="shared" si="0"/>
        <v>9.0669947460595459</v>
      </c>
      <c r="F14" s="5">
        <f t="shared" si="1"/>
        <v>-519.22745999999995</v>
      </c>
    </row>
    <row r="15" spans="1:6" s="6" customFormat="1" ht="15.75" customHeight="1">
      <c r="A15" s="7">
        <v>1060100000</v>
      </c>
      <c r="B15" s="11" t="s">
        <v>9</v>
      </c>
      <c r="C15" s="9">
        <v>179</v>
      </c>
      <c r="D15" s="10">
        <v>33.9313</v>
      </c>
      <c r="E15" s="9">
        <f t="shared" si="0"/>
        <v>18.956033519553074</v>
      </c>
      <c r="F15" s="9">
        <f>SUM(D15-C15)</f>
        <v>-145.06870000000001</v>
      </c>
    </row>
    <row r="16" spans="1:6" ht="15.75" customHeight="1">
      <c r="A16" s="7">
        <v>1060600000</v>
      </c>
      <c r="B16" s="11" t="s">
        <v>8</v>
      </c>
      <c r="C16" s="9">
        <v>392</v>
      </c>
      <c r="D16" s="10">
        <v>17.841239999999999</v>
      </c>
      <c r="E16" s="9">
        <f t="shared" si="0"/>
        <v>4.5513367346938773</v>
      </c>
      <c r="F16" s="9">
        <f t="shared" si="1"/>
        <v>-374.15876000000003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0.6</v>
      </c>
      <c r="E17" s="5">
        <f t="shared" si="0"/>
        <v>6</v>
      </c>
      <c r="F17" s="5">
        <f t="shared" si="1"/>
        <v>-9.4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0.6</v>
      </c>
      <c r="E18" s="9">
        <f t="shared" si="0"/>
        <v>6</v>
      </c>
      <c r="F18" s="9">
        <f t="shared" si="1"/>
        <v>-9.4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32</v>
      </c>
      <c r="D25" s="5">
        <f>D27+D29+D34</f>
        <v>1.7416400000000001</v>
      </c>
      <c r="E25" s="5">
        <f t="shared" si="0"/>
        <v>5.4426250000000005</v>
      </c>
      <c r="F25" s="5">
        <f t="shared" si="1"/>
        <v>-30.25836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32</v>
      </c>
      <c r="D26" s="5">
        <f>D27</f>
        <v>1.7416400000000001</v>
      </c>
      <c r="E26" s="5">
        <f t="shared" si="0"/>
        <v>5.4426250000000005</v>
      </c>
      <c r="F26" s="5">
        <f t="shared" si="1"/>
        <v>-30.25836</v>
      </c>
    </row>
    <row r="27" spans="1:6" ht="17.25" customHeight="1">
      <c r="A27" s="16">
        <v>1110502510</v>
      </c>
      <c r="B27" s="17" t="s">
        <v>226</v>
      </c>
      <c r="C27" s="12">
        <v>32</v>
      </c>
      <c r="D27" s="10">
        <v>1.7416400000000001</v>
      </c>
      <c r="E27" s="9">
        <f t="shared" si="0"/>
        <v>5.4426250000000005</v>
      </c>
      <c r="F27" s="9">
        <f t="shared" si="1"/>
        <v>-30.25836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1029.2919999999999</v>
      </c>
      <c r="D37" s="400">
        <f>D4+D25</f>
        <v>125.67638000000001</v>
      </c>
      <c r="E37" s="5">
        <f t="shared" si="0"/>
        <v>12.209983172899431</v>
      </c>
      <c r="F37" s="5">
        <f t="shared" si="1"/>
        <v>-903.61561999999992</v>
      </c>
    </row>
    <row r="38" spans="1:7" s="6" customFormat="1">
      <c r="A38" s="3">
        <v>2000000000</v>
      </c>
      <c r="B38" s="4" t="s">
        <v>20</v>
      </c>
      <c r="C38" s="390">
        <f>C39+C41+C42+C43+C44+C45</f>
        <v>2345.3540000000003</v>
      </c>
      <c r="D38" s="342">
        <f>D39+D41+D42+D43+D45</f>
        <v>227.4</v>
      </c>
      <c r="E38" s="5">
        <f t="shared" si="0"/>
        <v>9.6957644773454223</v>
      </c>
      <c r="F38" s="5">
        <f t="shared" si="1"/>
        <v>-2117.9540000000002</v>
      </c>
      <c r="G38" s="19"/>
    </row>
    <row r="39" spans="1:7" ht="14.25" customHeight="1">
      <c r="A39" s="16">
        <v>2021000000</v>
      </c>
      <c r="B39" s="17" t="s">
        <v>21</v>
      </c>
      <c r="C39" s="99">
        <v>1275.4000000000001</v>
      </c>
      <c r="D39" s="99">
        <v>212.566</v>
      </c>
      <c r="E39" s="9">
        <f t="shared" si="0"/>
        <v>16.666614395483769</v>
      </c>
      <c r="F39" s="9">
        <f t="shared" si="1"/>
        <v>-1062.8340000000001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90</v>
      </c>
      <c r="D41" s="20">
        <v>0</v>
      </c>
      <c r="E41" s="9">
        <f t="shared" si="0"/>
        <v>0</v>
      </c>
      <c r="F41" s="9">
        <f t="shared" si="1"/>
        <v>-90</v>
      </c>
    </row>
    <row r="42" spans="1:7">
      <c r="A42" s="16">
        <v>2022000000</v>
      </c>
      <c r="B42" s="17" t="s">
        <v>22</v>
      </c>
      <c r="C42" s="99">
        <v>880.49800000000005</v>
      </c>
      <c r="D42" s="10">
        <v>0</v>
      </c>
      <c r="E42" s="9">
        <f t="shared" si="0"/>
        <v>0</v>
      </c>
      <c r="F42" s="9">
        <f t="shared" si="1"/>
        <v>-880.49800000000005</v>
      </c>
    </row>
    <row r="43" spans="1:7" ht="17.25" customHeight="1">
      <c r="A43" s="16">
        <v>2023000000</v>
      </c>
      <c r="B43" s="17" t="s">
        <v>23</v>
      </c>
      <c r="C43" s="12">
        <v>92.456000000000003</v>
      </c>
      <c r="D43" s="251">
        <v>14.834</v>
      </c>
      <c r="E43" s="9">
        <f t="shared" si="0"/>
        <v>16.044388682183957</v>
      </c>
      <c r="F43" s="9">
        <f t="shared" si="1"/>
        <v>-77.622</v>
      </c>
    </row>
    <row r="44" spans="1:7" ht="0.75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353</v>
      </c>
      <c r="C45" s="12">
        <v>7</v>
      </c>
      <c r="D45" s="252">
        <v>0</v>
      </c>
      <c r="E45" s="9">
        <f t="shared" si="0"/>
        <v>0</v>
      </c>
      <c r="F45" s="9">
        <f t="shared" si="1"/>
        <v>-7</v>
      </c>
    </row>
    <row r="46" spans="1:7" ht="14.25" hidden="1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326</v>
      </c>
      <c r="C48" s="277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77">
        <f>C37+C38</f>
        <v>3374.6460000000002</v>
      </c>
      <c r="D49" s="377">
        <f>D37+D38</f>
        <v>353.07638000000003</v>
      </c>
      <c r="E49" s="5">
        <f t="shared" si="0"/>
        <v>10.46261978293427</v>
      </c>
      <c r="F49" s="5">
        <f t="shared" si="1"/>
        <v>-3021.5696200000002</v>
      </c>
      <c r="G49" s="293"/>
      <c r="H49" s="369"/>
    </row>
    <row r="50" spans="1:8" s="6" customFormat="1" ht="15.75" customHeight="1">
      <c r="A50" s="3"/>
      <c r="B50" s="21" t="s">
        <v>321</v>
      </c>
      <c r="C50" s="280">
        <f>C49-C96</f>
        <v>-212.14414999999963</v>
      </c>
      <c r="D50" s="280">
        <f>D49-D96</f>
        <v>78.027480000000025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8" t="s">
        <v>412</v>
      </c>
      <c r="D52" s="73" t="s">
        <v>418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992.09100000000001</v>
      </c>
      <c r="D54" s="33">
        <f>D56+D61</f>
        <v>108.6639</v>
      </c>
      <c r="E54" s="34">
        <f>SUM(D54/C54*100)</f>
        <v>10.953017414733123</v>
      </c>
      <c r="F54" s="34">
        <f>SUM(D54-C54)</f>
        <v>-883.4271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984.4</v>
      </c>
      <c r="D56" s="37">
        <v>105.9734</v>
      </c>
      <c r="E56" s="38">
        <f>SUM(D56/C56*100)</f>
        <v>10.765278342137343</v>
      </c>
      <c r="F56" s="38">
        <f t="shared" ref="F56:F96" si="3">SUM(D56-C56)</f>
        <v>-878.42660000000001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89.944999999999993</v>
      </c>
      <c r="D62" s="32">
        <f>D63</f>
        <v>9.3450000000000006</v>
      </c>
      <c r="E62" s="34">
        <f t="shared" si="4"/>
        <v>10.389682583801212</v>
      </c>
      <c r="F62" s="34">
        <f t="shared" si="3"/>
        <v>-80.599999999999994</v>
      </c>
    </row>
    <row r="63" spans="1:8" ht="17.850000000000001" customHeight="1">
      <c r="A63" s="43" t="s">
        <v>48</v>
      </c>
      <c r="B63" s="44" t="s">
        <v>49</v>
      </c>
      <c r="C63" s="37">
        <v>89.944999999999993</v>
      </c>
      <c r="D63" s="37">
        <v>9.3450000000000006</v>
      </c>
      <c r="E63" s="38">
        <f t="shared" si="4"/>
        <v>10.389682583801212</v>
      </c>
      <c r="F63" s="38">
        <f t="shared" si="3"/>
        <v>-80.599999999999994</v>
      </c>
    </row>
    <row r="64" spans="1:8" s="6" customFormat="1" ht="17.25" customHeight="1">
      <c r="A64" s="30" t="s">
        <v>50</v>
      </c>
      <c r="B64" s="31" t="s">
        <v>51</v>
      </c>
      <c r="C64" s="32">
        <f>C67+C68+C69</f>
        <v>6</v>
      </c>
      <c r="D64" s="32">
        <f>SUM(D65:D67)</f>
        <v>0</v>
      </c>
      <c r="E64" s="34">
        <f t="shared" si="4"/>
        <v>0</v>
      </c>
      <c r="F64" s="34">
        <f t="shared" si="3"/>
        <v>-6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358</v>
      </c>
      <c r="B69" s="47" t="s">
        <v>361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58</v>
      </c>
      <c r="B70" s="31" t="s">
        <v>59</v>
      </c>
      <c r="C70" s="48">
        <f>SUM(C71:C74)</f>
        <v>1448.0434500000001</v>
      </c>
      <c r="D70" s="48">
        <f>D71+D72+D73+D74</f>
        <v>11.04</v>
      </c>
      <c r="E70" s="34">
        <f t="shared" si="4"/>
        <v>0.76240806171941855</v>
      </c>
      <c r="F70" s="34">
        <f t="shared" si="3"/>
        <v>-1437.0034500000002</v>
      </c>
    </row>
    <row r="71" spans="1:7" ht="16.5" customHeight="1">
      <c r="A71" s="35" t="s">
        <v>60</v>
      </c>
      <c r="B71" s="39" t="s">
        <v>61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62</v>
      </c>
      <c r="B72" s="39" t="s">
        <v>63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64</v>
      </c>
      <c r="B73" s="39" t="s">
        <v>65</v>
      </c>
      <c r="C73" s="49">
        <v>1441.34095</v>
      </c>
      <c r="D73" s="37">
        <v>11.04</v>
      </c>
      <c r="E73" s="38">
        <f t="shared" si="4"/>
        <v>0.76595339915930361</v>
      </c>
      <c r="F73" s="38">
        <f t="shared" si="3"/>
        <v>-1430.3009500000001</v>
      </c>
    </row>
    <row r="74" spans="1:7" ht="15.75" customHeight="1">
      <c r="A74" s="35" t="s">
        <v>66</v>
      </c>
      <c r="B74" s="39" t="s">
        <v>67</v>
      </c>
      <c r="C74" s="49">
        <v>0</v>
      </c>
      <c r="D74" s="37">
        <v>0</v>
      </c>
      <c r="E74" s="38" t="e">
        <f t="shared" si="4"/>
        <v>#DIV/0!</v>
      </c>
      <c r="F74" s="38">
        <f t="shared" si="3"/>
        <v>0</v>
      </c>
    </row>
    <row r="75" spans="1:7" s="6" customFormat="1" ht="18" customHeight="1">
      <c r="A75" s="30" t="s">
        <v>68</v>
      </c>
      <c r="B75" s="31" t="s">
        <v>69</v>
      </c>
      <c r="C75" s="32">
        <f>SUM(C76:C78)</f>
        <v>183.01070000000001</v>
      </c>
      <c r="D75" s="32">
        <f>D78</f>
        <v>0</v>
      </c>
      <c r="E75" s="34">
        <f t="shared" si="4"/>
        <v>0</v>
      </c>
      <c r="F75" s="34">
        <f t="shared" si="3"/>
        <v>-183.01070000000001</v>
      </c>
    </row>
    <row r="76" spans="1:7" ht="15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72</v>
      </c>
      <c r="B77" s="51" t="s">
        <v>73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74</v>
      </c>
      <c r="B78" s="39" t="s">
        <v>75</v>
      </c>
      <c r="C78" s="37">
        <v>183.01070000000001</v>
      </c>
      <c r="D78" s="37">
        <v>0</v>
      </c>
      <c r="E78" s="38">
        <f t="shared" si="4"/>
        <v>0</v>
      </c>
      <c r="F78" s="38">
        <f t="shared" si="3"/>
        <v>-183.01070000000001</v>
      </c>
    </row>
    <row r="79" spans="1:7" s="6" customFormat="1" ht="17.850000000000001" customHeight="1">
      <c r="A79" s="30" t="s">
        <v>86</v>
      </c>
      <c r="B79" s="31" t="s">
        <v>87</v>
      </c>
      <c r="C79" s="32">
        <f>C80</f>
        <v>863.7</v>
      </c>
      <c r="D79" s="32">
        <f>D80</f>
        <v>144</v>
      </c>
      <c r="E79" s="34">
        <f t="shared" si="4"/>
        <v>16.67245571378951</v>
      </c>
      <c r="F79" s="34">
        <f t="shared" si="3"/>
        <v>-719.7</v>
      </c>
    </row>
    <row r="80" spans="1:7" ht="15" customHeight="1">
      <c r="A80" s="35" t="s">
        <v>88</v>
      </c>
      <c r="B80" s="39" t="s">
        <v>234</v>
      </c>
      <c r="C80" s="37">
        <v>863.7</v>
      </c>
      <c r="D80" s="37">
        <v>144</v>
      </c>
      <c r="E80" s="38">
        <f t="shared" si="4"/>
        <v>16.67245571378951</v>
      </c>
      <c r="F80" s="38">
        <f t="shared" si="3"/>
        <v>-719.7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t="17.25" hidden="1" customHeight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 ht="17.850000000000001" customHeight="1">
      <c r="A86" s="30" t="s">
        <v>95</v>
      </c>
      <c r="B86" s="31" t="s">
        <v>96</v>
      </c>
      <c r="C86" s="32">
        <f>C87+C88+C89+C90+C91</f>
        <v>4</v>
      </c>
      <c r="D86" s="32">
        <f>D87+D88+D89+D90+D91</f>
        <v>2</v>
      </c>
      <c r="E86" s="38">
        <f t="shared" si="4"/>
        <v>50</v>
      </c>
      <c r="F86" s="22">
        <f>F87+F88+F89+F90+F91</f>
        <v>-2</v>
      </c>
    </row>
    <row r="87" spans="1:6" ht="17.25" customHeight="1">
      <c r="A87" s="35" t="s">
        <v>97</v>
      </c>
      <c r="B87" s="39" t="s">
        <v>98</v>
      </c>
      <c r="C87" s="37">
        <v>4</v>
      </c>
      <c r="D87" s="37">
        <v>2</v>
      </c>
      <c r="E87" s="38">
        <f t="shared" si="4"/>
        <v>50</v>
      </c>
      <c r="F87" s="38">
        <f>SUM(D87-C87)</f>
        <v>-2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8" hidden="1" customHeight="1">
      <c r="A94" s="53">
        <v>1402</v>
      </c>
      <c r="B94" s="54" t="s">
        <v>117</v>
      </c>
      <c r="C94" s="239"/>
      <c r="D94" s="240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6.5" customHeight="1">
      <c r="A96" s="52"/>
      <c r="B96" s="57" t="s">
        <v>119</v>
      </c>
      <c r="C96" s="379">
        <f>C54+C62+C64+C70+C75+C79+C81+C86+C92</f>
        <v>3586.7901499999998</v>
      </c>
      <c r="D96" s="379">
        <f>D54+D62+D64+D70+D75+D79+D86</f>
        <v>275.0489</v>
      </c>
      <c r="E96" s="34">
        <f t="shared" si="4"/>
        <v>7.668385617708914</v>
      </c>
      <c r="F96" s="34">
        <f t="shared" si="3"/>
        <v>-3311.74125</v>
      </c>
    </row>
    <row r="97" spans="1:4" ht="20.25" customHeight="1">
      <c r="C97" s="126"/>
      <c r="D97" s="101"/>
    </row>
    <row r="98" spans="1:4" s="65" customFormat="1" ht="13.5" customHeight="1">
      <c r="A98" s="63" t="s">
        <v>120</v>
      </c>
      <c r="B98" s="63"/>
      <c r="C98" s="116"/>
      <c r="D98" s="64"/>
    </row>
    <row r="99" spans="1:4" s="65" customFormat="1" ht="12.75">
      <c r="A99" s="66" t="s">
        <v>121</v>
      </c>
      <c r="B99" s="66"/>
      <c r="C99" s="134" t="s">
        <v>122</v>
      </c>
      <c r="D99" s="134"/>
    </row>
    <row r="100" spans="1:4" ht="5.25" customHeight="1">
      <c r="C100" s="120"/>
    </row>
    <row r="142" hidden="1"/>
  </sheetData>
  <customSheetViews>
    <customSheetView guid="{37D0E254-14A1-48DF-98B1-097427A51078}" scale="70" showPageBreaks="1" hiddenRows="1" view="pageBreakPreview" topLeftCell="A13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4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5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61528DAC-5C4C-48F4-ADE2-8A724B05A086}" scale="70" showPageBreaks="1" hiddenRows="1" view="pageBreakPreview" topLeftCell="A4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hiddenRows="1" topLeftCell="A18">
      <selection activeCell="A69" sqref="A69:XFD69"/>
      <pageMargins left="0.7" right="0.7" top="0.75" bottom="0.75" header="0.3" footer="0.3"/>
      <pageSetup paperSize="9" scale="60" orientation="portrait" r:id="rId8"/>
    </customSheetView>
    <customSheetView guid="{B30CE22D-C12F-4E12-8BB9-3AAE0A6991CC}" scale="70" showPageBreaks="1" hiddenRows="1" view="pageBreakPreview" topLeftCell="A13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42"/>
  <sheetViews>
    <sheetView view="pageBreakPreview" topLeftCell="A25" zoomScale="70" zoomScaleNormal="100" zoomScaleSheetLayoutView="70" workbookViewId="0">
      <selection activeCell="A71" sqref="A71:XFD7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432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1026.2959999999998</v>
      </c>
      <c r="D4" s="5">
        <f>D5+D12+D14+D17+D20+D7</f>
        <v>93.462670000000003</v>
      </c>
      <c r="E4" s="5">
        <f>SUM(D4/C4*100)</f>
        <v>9.1067947258880491</v>
      </c>
      <c r="F4" s="5">
        <f>SUM(D4-C4)</f>
        <v>-932.83332999999982</v>
      </c>
    </row>
    <row r="5" spans="1:6" s="6" customFormat="1">
      <c r="A5" s="68">
        <v>1010000000</v>
      </c>
      <c r="B5" s="67" t="s">
        <v>6</v>
      </c>
      <c r="C5" s="5">
        <f>C6</f>
        <v>86.510999999999996</v>
      </c>
      <c r="D5" s="5">
        <f>D6</f>
        <v>13.22367</v>
      </c>
      <c r="E5" s="5">
        <f t="shared" ref="E5:E51" si="0">SUM(D5/C5*100)</f>
        <v>15.285535943406042</v>
      </c>
      <c r="F5" s="5">
        <f t="shared" ref="F5:F51" si="1">SUM(D5-C5)</f>
        <v>-73.287329999999997</v>
      </c>
    </row>
    <row r="6" spans="1:6">
      <c r="A6" s="7">
        <v>1010200001</v>
      </c>
      <c r="B6" s="8" t="s">
        <v>229</v>
      </c>
      <c r="C6" s="9">
        <v>86.510999999999996</v>
      </c>
      <c r="D6" s="438">
        <v>13.22367</v>
      </c>
      <c r="E6" s="9">
        <f t="shared" ref="E6:E11" si="2">SUM(D6/C6*100)</f>
        <v>15.285535943406042</v>
      </c>
      <c r="F6" s="9">
        <f t="shared" si="1"/>
        <v>-73.287329999999997</v>
      </c>
    </row>
    <row r="7" spans="1:6" ht="31.5">
      <c r="A7" s="3">
        <v>1030000000</v>
      </c>
      <c r="B7" s="13" t="s">
        <v>281</v>
      </c>
      <c r="C7" s="5">
        <f>C8+C10+C9</f>
        <v>316.78499999999997</v>
      </c>
      <c r="D7" s="342">
        <f>D8+D10+D9+D11</f>
        <v>64.533479999999997</v>
      </c>
      <c r="E7" s="9">
        <f t="shared" si="2"/>
        <v>20.371381220701739</v>
      </c>
      <c r="F7" s="9">
        <f t="shared" si="1"/>
        <v>-252.25151999999997</v>
      </c>
    </row>
    <row r="8" spans="1:6">
      <c r="A8" s="7">
        <v>1030223001</v>
      </c>
      <c r="B8" s="8" t="s">
        <v>283</v>
      </c>
      <c r="C8" s="9">
        <v>118.16</v>
      </c>
      <c r="D8" s="10">
        <v>28.583359999999999</v>
      </c>
      <c r="E8" s="9">
        <f t="shared" si="2"/>
        <v>24.190385917400135</v>
      </c>
      <c r="F8" s="9">
        <f t="shared" si="1"/>
        <v>-89.576639999999998</v>
      </c>
    </row>
    <row r="9" spans="1:6">
      <c r="A9" s="7">
        <v>1030224001</v>
      </c>
      <c r="B9" s="8" t="s">
        <v>289</v>
      </c>
      <c r="C9" s="9">
        <v>1.2649999999999999</v>
      </c>
      <c r="D9" s="10">
        <v>0.19392999999999999</v>
      </c>
      <c r="E9" s="9">
        <f t="shared" si="2"/>
        <v>15.330434782608696</v>
      </c>
      <c r="F9" s="9">
        <f t="shared" si="1"/>
        <v>-1.07107</v>
      </c>
    </row>
    <row r="10" spans="1:6">
      <c r="A10" s="7">
        <v>1030225001</v>
      </c>
      <c r="B10" s="8" t="s">
        <v>282</v>
      </c>
      <c r="C10" s="9">
        <v>197.36</v>
      </c>
      <c r="D10" s="10">
        <v>41.983280000000001</v>
      </c>
      <c r="E10" s="9">
        <f t="shared" si="2"/>
        <v>21.272436157276044</v>
      </c>
      <c r="F10" s="9">
        <f t="shared" si="1"/>
        <v>-155.37672000000001</v>
      </c>
    </row>
    <row r="11" spans="1:6">
      <c r="A11" s="7">
        <v>1030226001</v>
      </c>
      <c r="B11" s="8" t="s">
        <v>291</v>
      </c>
      <c r="C11" s="9">
        <v>0</v>
      </c>
      <c r="D11" s="10">
        <v>-6.2270899999999996</v>
      </c>
      <c r="E11" s="9" t="e">
        <f t="shared" si="2"/>
        <v>#DIV/0!</v>
      </c>
      <c r="F11" s="9">
        <f t="shared" si="1"/>
        <v>-6.2270899999999996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0</v>
      </c>
      <c r="E12" s="5">
        <f t="shared" si="0"/>
        <v>0</v>
      </c>
      <c r="F12" s="5">
        <f t="shared" si="1"/>
        <v>-65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0</v>
      </c>
      <c r="E13" s="9">
        <f t="shared" si="0"/>
        <v>0</v>
      </c>
      <c r="F13" s="9">
        <f t="shared" si="1"/>
        <v>-65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548</v>
      </c>
      <c r="D14" s="342">
        <f>D15+D16</f>
        <v>14.755519999999999</v>
      </c>
      <c r="E14" s="9">
        <f t="shared" si="0"/>
        <v>2.6926131386861312</v>
      </c>
      <c r="F14" s="9">
        <f t="shared" si="1"/>
        <v>-533.24447999999995</v>
      </c>
    </row>
    <row r="15" spans="1:6" s="6" customFormat="1" ht="15.75" customHeight="1">
      <c r="A15" s="7">
        <v>1060100000</v>
      </c>
      <c r="B15" s="11" t="s">
        <v>9</v>
      </c>
      <c r="C15" s="278">
        <v>88</v>
      </c>
      <c r="D15" s="10">
        <v>1.91743</v>
      </c>
      <c r="E15" s="9">
        <f>SUM(D15/C15*100)</f>
        <v>2.1788977272727275</v>
      </c>
      <c r="F15" s="9">
        <f>SUM(D15-C14)</f>
        <v>-546.08257000000003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12.838089999999999</v>
      </c>
      <c r="E16" s="9">
        <f t="shared" si="0"/>
        <v>2.7908891304347825</v>
      </c>
      <c r="F16" s="9">
        <f t="shared" si="1"/>
        <v>-447.16190999999998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390">
        <f>D18</f>
        <v>0.95</v>
      </c>
      <c r="E17" s="5">
        <f t="shared" si="0"/>
        <v>9.5</v>
      </c>
      <c r="F17" s="5">
        <f t="shared" si="1"/>
        <v>-9.0500000000000007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0.95</v>
      </c>
      <c r="E18" s="9">
        <f t="shared" si="0"/>
        <v>9.5</v>
      </c>
      <c r="F18" s="9">
        <f t="shared" si="1"/>
        <v>-9.0500000000000007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55</v>
      </c>
      <c r="D25" s="375">
        <f>D26+D29+D31+D37-D34</f>
        <v>0</v>
      </c>
      <c r="E25" s="5">
        <f t="shared" si="0"/>
        <v>0</v>
      </c>
      <c r="F25" s="5">
        <f t="shared" si="1"/>
        <v>-55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55</v>
      </c>
      <c r="D26" s="375">
        <f>D27+D28</f>
        <v>0</v>
      </c>
      <c r="E26" s="5">
        <f t="shared" si="0"/>
        <v>0</v>
      </c>
      <c r="F26" s="5">
        <f t="shared" si="1"/>
        <v>-55</v>
      </c>
    </row>
    <row r="27" spans="1:6" ht="15.75" customHeight="1">
      <c r="A27" s="16">
        <v>1110502510</v>
      </c>
      <c r="B27" s="17" t="s">
        <v>226</v>
      </c>
      <c r="C27" s="12">
        <v>55</v>
      </c>
      <c r="D27" s="457">
        <v>0</v>
      </c>
      <c r="E27" s="9">
        <f t="shared" si="0"/>
        <v>0</v>
      </c>
      <c r="F27" s="9">
        <f t="shared" si="1"/>
        <v>-55</v>
      </c>
    </row>
    <row r="28" spans="1:6" ht="17.25" customHeight="1">
      <c r="A28" s="7">
        <v>1110503505</v>
      </c>
      <c r="B28" s="11" t="s">
        <v>225</v>
      </c>
      <c r="C28" s="12">
        <v>0</v>
      </c>
      <c r="D28" s="457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37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457">
        <v>0</v>
      </c>
      <c r="E30" s="9" t="e">
        <f t="shared" si="0"/>
        <v>#DIV/0!</v>
      </c>
      <c r="F30" s="9">
        <f t="shared" si="1"/>
        <v>0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37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457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457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458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457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343</v>
      </c>
      <c r="C36" s="9">
        <v>0</v>
      </c>
      <c r="D36" s="457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37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9">
        <v>0</v>
      </c>
      <c r="D38" s="45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457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1081.2959999999998</v>
      </c>
      <c r="D40" s="127">
        <f>D4+D25</f>
        <v>93.462670000000003</v>
      </c>
      <c r="E40" s="5">
        <f t="shared" si="0"/>
        <v>8.6435786315680456</v>
      </c>
      <c r="F40" s="5">
        <f t="shared" si="1"/>
        <v>-987.83332999999982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3264.3307199999999</v>
      </c>
      <c r="D41" s="342">
        <f>D42+D44+D45+D46+D47+D48+D43+D50</f>
        <v>630.59099999999989</v>
      </c>
      <c r="E41" s="5">
        <f t="shared" si="0"/>
        <v>19.317619876456632</v>
      </c>
      <c r="F41" s="5">
        <f t="shared" si="1"/>
        <v>-2633.73972</v>
      </c>
      <c r="G41" s="19"/>
    </row>
    <row r="42" spans="1:7" ht="16.5" customHeight="1">
      <c r="A42" s="16">
        <v>2021000000</v>
      </c>
      <c r="B42" s="17" t="s">
        <v>21</v>
      </c>
      <c r="C42" s="12">
        <v>1969.9</v>
      </c>
      <c r="D42" s="12">
        <v>328.31599999999997</v>
      </c>
      <c r="E42" s="9">
        <f t="shared" si="0"/>
        <v>16.666632824001216</v>
      </c>
      <c r="F42" s="9">
        <f t="shared" si="1"/>
        <v>-1641.5840000000001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837.01599999999996</v>
      </c>
      <c r="D44" s="10">
        <v>0</v>
      </c>
      <c r="E44" s="9">
        <f>SUM(D44/C44*100)</f>
        <v>0</v>
      </c>
      <c r="F44" s="9">
        <f t="shared" si="1"/>
        <v>-837.01599999999996</v>
      </c>
    </row>
    <row r="45" spans="1:7" ht="15" customHeight="1">
      <c r="A45" s="16">
        <v>2023000000</v>
      </c>
      <c r="B45" s="17" t="s">
        <v>23</v>
      </c>
      <c r="C45" s="12">
        <v>92.710999999999999</v>
      </c>
      <c r="D45" s="251">
        <v>14.834</v>
      </c>
      <c r="E45" s="9">
        <f t="shared" si="0"/>
        <v>16.000258868958376</v>
      </c>
      <c r="F45" s="9">
        <f t="shared" si="1"/>
        <v>-77.876999999999995</v>
      </c>
    </row>
    <row r="46" spans="1:7" hidden="1">
      <c r="A46" s="16">
        <v>2020400000</v>
      </c>
      <c r="B46" s="17" t="s">
        <v>24</v>
      </c>
      <c r="C46" s="12">
        <v>35.26285</v>
      </c>
      <c r="D46" s="252">
        <v>0</v>
      </c>
      <c r="E46" s="9">
        <f t="shared" si="0"/>
        <v>0</v>
      </c>
      <c r="F46" s="9">
        <f t="shared" si="1"/>
        <v>-35.26285</v>
      </c>
    </row>
    <row r="47" spans="1:7" ht="23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353</v>
      </c>
      <c r="C50" s="12">
        <v>329.44087000000002</v>
      </c>
      <c r="D50" s="10">
        <v>287.44099999999997</v>
      </c>
      <c r="E50" s="9">
        <f t="shared" si="0"/>
        <v>87.251165892076472</v>
      </c>
      <c r="F50" s="9">
        <f t="shared" si="1"/>
        <v>-41.999870000000044</v>
      </c>
    </row>
    <row r="51" spans="1:7" s="6" customFormat="1" ht="19.5" customHeight="1">
      <c r="A51" s="3"/>
      <c r="B51" s="4" t="s">
        <v>28</v>
      </c>
      <c r="C51" s="372">
        <f>C40+C41</f>
        <v>4345.6267200000002</v>
      </c>
      <c r="D51" s="373">
        <f>D40+D41</f>
        <v>724.0536699999999</v>
      </c>
      <c r="E51" s="93">
        <f t="shared" si="0"/>
        <v>16.661662785431325</v>
      </c>
      <c r="F51" s="93">
        <f t="shared" si="1"/>
        <v>-3621.5730500000004</v>
      </c>
      <c r="G51" s="293"/>
    </row>
    <row r="52" spans="1:7" s="6" customFormat="1">
      <c r="A52" s="3"/>
      <c r="B52" s="21" t="s">
        <v>321</v>
      </c>
      <c r="C52" s="372">
        <f>C51-C98</f>
        <v>-140.08351999999923</v>
      </c>
      <c r="D52" s="372">
        <f>D51-D98</f>
        <v>333.78635999999989</v>
      </c>
      <c r="E52" s="22"/>
      <c r="F52" s="22"/>
    </row>
    <row r="53" spans="1:7">
      <c r="A53" s="23"/>
      <c r="B53" s="24"/>
      <c r="C53" s="250"/>
      <c r="D53" s="250"/>
      <c r="E53" s="26"/>
      <c r="F53" s="27"/>
    </row>
    <row r="54" spans="1:7" ht="46.5" customHeight="1">
      <c r="A54" s="28" t="s">
        <v>1</v>
      </c>
      <c r="B54" s="28" t="s">
        <v>29</v>
      </c>
      <c r="C54" s="243" t="s">
        <v>412</v>
      </c>
      <c r="D54" s="244" t="s">
        <v>418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1288.2380000000001</v>
      </c>
      <c r="D56" s="33">
        <f>D57+D58+D59+D60+D61+D63+D62</f>
        <v>159.27803</v>
      </c>
      <c r="E56" s="34">
        <f>SUM(D56/C56*100)</f>
        <v>12.364022020775664</v>
      </c>
      <c r="F56" s="34">
        <f>SUM(D56-C56)</f>
        <v>-1128.9599700000001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1280</v>
      </c>
      <c r="D58" s="37">
        <v>156.04003</v>
      </c>
      <c r="E58" s="38">
        <f t="shared" ref="E58:E98" si="3">SUM(D58/C58*100)</f>
        <v>12.19062734375</v>
      </c>
      <c r="F58" s="38">
        <f t="shared" ref="F58:F98" si="4">SUM(D58-C58)</f>
        <v>-1123.9599699999999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3.238</v>
      </c>
      <c r="D63" s="37">
        <v>3.238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89.945999999999998</v>
      </c>
      <c r="D64" s="32">
        <f>D65</f>
        <v>9.5892800000000005</v>
      </c>
      <c r="E64" s="34">
        <f t="shared" si="3"/>
        <v>10.661152246903699</v>
      </c>
      <c r="F64" s="34">
        <f t="shared" si="4"/>
        <v>-80.356719999999996</v>
      </c>
    </row>
    <row r="65" spans="1:7">
      <c r="A65" s="43" t="s">
        <v>48</v>
      </c>
      <c r="B65" s="44" t="s">
        <v>49</v>
      </c>
      <c r="C65" s="37">
        <v>89.945999999999998</v>
      </c>
      <c r="D65" s="37">
        <v>9.5892800000000005</v>
      </c>
      <c r="E65" s="38">
        <f t="shared" si="3"/>
        <v>10.661152246903699</v>
      </c>
      <c r="F65" s="38">
        <f t="shared" si="4"/>
        <v>-80.356719999999996</v>
      </c>
    </row>
    <row r="66" spans="1:7" s="6" customFormat="1" ht="18.75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</v>
      </c>
      <c r="E66" s="34">
        <f t="shared" si="3"/>
        <v>0</v>
      </c>
      <c r="F66" s="34">
        <f t="shared" si="4"/>
        <v>-6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1.6</v>
      </c>
      <c r="D69" s="37">
        <v>0</v>
      </c>
      <c r="E69" s="38">
        <f t="shared" si="3"/>
        <v>0</v>
      </c>
      <c r="F69" s="38">
        <f t="shared" si="4"/>
        <v>-1.6</v>
      </c>
    </row>
    <row r="70" spans="1:7" ht="15.75" customHeight="1">
      <c r="A70" s="46" t="s">
        <v>219</v>
      </c>
      <c r="B70" s="47" t="s">
        <v>220</v>
      </c>
      <c r="C70" s="37">
        <v>2.4</v>
      </c>
      <c r="D70" s="37">
        <v>0</v>
      </c>
      <c r="E70" s="38">
        <f t="shared" si="3"/>
        <v>0</v>
      </c>
      <c r="F70" s="38">
        <f t="shared" si="4"/>
        <v>-2.4</v>
      </c>
    </row>
    <row r="71" spans="1:7" ht="15.75" customHeight="1">
      <c r="A71" s="46" t="s">
        <v>358</v>
      </c>
      <c r="B71" s="47" t="s">
        <v>438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1667.7382400000001</v>
      </c>
      <c r="D72" s="48">
        <f>SUM(D73:D76)</f>
        <v>18.8</v>
      </c>
      <c r="E72" s="34">
        <f t="shared" si="3"/>
        <v>1.1272752251576363</v>
      </c>
      <c r="F72" s="34">
        <f t="shared" si="4"/>
        <v>-1648.9382400000002</v>
      </c>
    </row>
    <row r="73" spans="1:7" ht="15.7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62</v>
      </c>
      <c r="B74" s="39" t="s">
        <v>63</v>
      </c>
      <c r="C74" s="49">
        <v>90</v>
      </c>
      <c r="D74" s="37">
        <v>0</v>
      </c>
      <c r="E74" s="38">
        <f t="shared" si="3"/>
        <v>0</v>
      </c>
      <c r="F74" s="38">
        <f t="shared" si="4"/>
        <v>-90</v>
      </c>
      <c r="G74" s="50"/>
    </row>
    <row r="75" spans="1:7">
      <c r="A75" s="35" t="s">
        <v>64</v>
      </c>
      <c r="B75" s="39" t="s">
        <v>65</v>
      </c>
      <c r="C75" s="49">
        <v>1526.03574</v>
      </c>
      <c r="D75" s="37">
        <v>17.600000000000001</v>
      </c>
      <c r="E75" s="38">
        <f t="shared" si="3"/>
        <v>1.1533150593183357</v>
      </c>
      <c r="F75" s="38">
        <f t="shared" si="4"/>
        <v>-1508.4357400000001</v>
      </c>
    </row>
    <row r="76" spans="1:7" ht="16.5" customHeight="1">
      <c r="A76" s="35" t="s">
        <v>66</v>
      </c>
      <c r="B76" s="39" t="s">
        <v>67</v>
      </c>
      <c r="C76" s="49">
        <v>45</v>
      </c>
      <c r="D76" s="37">
        <v>1.2</v>
      </c>
      <c r="E76" s="38">
        <f t="shared" si="3"/>
        <v>2.6666666666666665</v>
      </c>
      <c r="F76" s="38">
        <f t="shared" si="4"/>
        <v>-43.8</v>
      </c>
    </row>
    <row r="77" spans="1:7" s="6" customFormat="1" ht="19.5" customHeight="1">
      <c r="A77" s="30" t="s">
        <v>68</v>
      </c>
      <c r="B77" s="31" t="s">
        <v>69</v>
      </c>
      <c r="C77" s="32">
        <f>SUM(C78:C80)</f>
        <v>475.38799999999998</v>
      </c>
      <c r="D77" s="32">
        <f>SUM(D78:D80)</f>
        <v>42</v>
      </c>
      <c r="E77" s="34">
        <f t="shared" si="3"/>
        <v>8.8348885541915241</v>
      </c>
      <c r="F77" s="34">
        <f t="shared" si="4"/>
        <v>-433.38799999999998</v>
      </c>
    </row>
    <row r="78" spans="1:7" ht="18" hidden="1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475.38799999999998</v>
      </c>
      <c r="D80" s="37">
        <v>42</v>
      </c>
      <c r="E80" s="38">
        <f t="shared" si="3"/>
        <v>8.8348885541915241</v>
      </c>
      <c r="F80" s="38">
        <f t="shared" si="4"/>
        <v>-433.38799999999998</v>
      </c>
    </row>
    <row r="81" spans="1:7" s="6" customFormat="1">
      <c r="A81" s="30" t="s">
        <v>86</v>
      </c>
      <c r="B81" s="31" t="s">
        <v>87</v>
      </c>
      <c r="C81" s="32">
        <f>C82</f>
        <v>957.4</v>
      </c>
      <c r="D81" s="32">
        <f>SUM(D82)</f>
        <v>159.6</v>
      </c>
      <c r="E81" s="34">
        <f t="shared" si="3"/>
        <v>16.67014831836223</v>
      </c>
      <c r="F81" s="34">
        <f t="shared" si="4"/>
        <v>-797.8</v>
      </c>
    </row>
    <row r="82" spans="1:7" ht="17.25" customHeight="1">
      <c r="A82" s="35" t="s">
        <v>88</v>
      </c>
      <c r="B82" s="39" t="s">
        <v>234</v>
      </c>
      <c r="C82" s="37">
        <v>957.4</v>
      </c>
      <c r="D82" s="37">
        <v>159.6</v>
      </c>
      <c r="E82" s="38">
        <f t="shared" si="3"/>
        <v>16.67014831836223</v>
      </c>
      <c r="F82" s="38">
        <f t="shared" si="4"/>
        <v>-797.8</v>
      </c>
    </row>
    <row r="83" spans="1:7" s="6" customFormat="1" ht="21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95</v>
      </c>
      <c r="B88" s="31" t="s">
        <v>96</v>
      </c>
      <c r="C88" s="32">
        <f>C89+C90+C91+C92+C93</f>
        <v>1</v>
      </c>
      <c r="D88" s="32">
        <f>D89</f>
        <v>1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97</v>
      </c>
      <c r="B89" s="39" t="s">
        <v>98</v>
      </c>
      <c r="C89" s="37">
        <v>1</v>
      </c>
      <c r="D89" s="37">
        <v>1</v>
      </c>
      <c r="E89" s="38">
        <f t="shared" si="3"/>
        <v>100</v>
      </c>
      <c r="F89" s="38">
        <f>SUM(D89-C89)</f>
        <v>0</v>
      </c>
      <c r="G89" s="356">
        <f>C98-4485.71024</f>
        <v>0</v>
      </c>
    </row>
    <row r="90" spans="1:7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101</v>
      </c>
      <c r="B91" s="39" t="s">
        <v>102</v>
      </c>
      <c r="C91" s="37"/>
      <c r="D91" s="37" t="s">
        <v>339</v>
      </c>
      <c r="E91" s="38" t="e">
        <f t="shared" si="3"/>
        <v>#VALUE!</v>
      </c>
      <c r="F91" s="38"/>
    </row>
    <row r="92" spans="1:7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5.7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119</v>
      </c>
      <c r="C98" s="376">
        <f>C56+C64+C66+C72+C77+C81+C83+C88+C94</f>
        <v>4485.7102399999994</v>
      </c>
      <c r="D98" s="376">
        <f>D56+D64+D66+D72+D77+D81+D83+D88+D94</f>
        <v>390.26731000000001</v>
      </c>
      <c r="E98" s="34">
        <f t="shared" si="3"/>
        <v>8.7002345028866621</v>
      </c>
      <c r="F98" s="34">
        <f t="shared" si="4"/>
        <v>-4095.4429299999993</v>
      </c>
      <c r="G98" s="293"/>
    </row>
    <row r="99" spans="1:7">
      <c r="C99" s="126"/>
      <c r="D99" s="101"/>
    </row>
    <row r="100" spans="1:7" s="65" customFormat="1" ht="16.5" customHeight="1">
      <c r="A100" s="63" t="s">
        <v>120</v>
      </c>
      <c r="B100" s="63"/>
      <c r="C100" s="249"/>
      <c r="D100" s="249"/>
      <c r="E100" s="368"/>
    </row>
    <row r="101" spans="1:7" s="65" customFormat="1" ht="20.25" customHeight="1">
      <c r="A101" s="66" t="s">
        <v>121</v>
      </c>
      <c r="B101" s="66"/>
      <c r="C101" s="65" t="s">
        <v>122</v>
      </c>
    </row>
    <row r="102" spans="1:7" ht="13.5" customHeight="1">
      <c r="C102" s="120"/>
    </row>
    <row r="104" spans="1:7" ht="5.25" customHeight="1"/>
    <row r="142" hidden="1"/>
  </sheetData>
  <customSheetViews>
    <customSheetView guid="{37D0E254-14A1-48DF-98B1-097427A51078}" scale="70" showPageBreaks="1" hiddenRows="1" view="pageBreakPreview" topLeftCell="A25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61528DAC-5C4C-48F4-ADE2-8A724B05A086}" scale="70" showPageBreaks="1" hiddenRows="1" view="pageBreakPreview" topLeftCell="A12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70" showPageBreaks="1" hiddenRows="1" view="pageBreakPreview" topLeftCell="A43">
      <selection activeCell="C74" sqref="C74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hiddenRows="1" view="pageBreakPreview" topLeftCell="A25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29" zoomScale="70" zoomScaleNormal="100" zoomScaleSheetLayoutView="70" workbookViewId="0">
      <selection activeCell="A71" sqref="A71:XFD71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1" t="s">
        <v>433</v>
      </c>
      <c r="B1" s="541"/>
      <c r="C1" s="541"/>
      <c r="D1" s="541"/>
      <c r="E1" s="541"/>
      <c r="F1" s="541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724.452</v>
      </c>
      <c r="D4" s="5">
        <f>D5+D12+D14+D17+D7</f>
        <v>82.975340000000003</v>
      </c>
      <c r="E4" s="5">
        <f>SUM(D4/C4*100)</f>
        <v>11.45353177298151</v>
      </c>
      <c r="F4" s="5">
        <f>SUM(D4-C4)</f>
        <v>-641.47666000000004</v>
      </c>
    </row>
    <row r="5" spans="1:6" s="6" customFormat="1">
      <c r="A5" s="68">
        <v>1010000000</v>
      </c>
      <c r="B5" s="67" t="s">
        <v>6</v>
      </c>
      <c r="C5" s="5">
        <f>C6</f>
        <v>37.046999999999997</v>
      </c>
      <c r="D5" s="5">
        <f>D6</f>
        <v>4.4903399999999998</v>
      </c>
      <c r="E5" s="5">
        <f t="shared" ref="E5:E51" si="0">SUM(D5/C5*100)</f>
        <v>12.120657543120901</v>
      </c>
      <c r="F5" s="5">
        <f t="shared" ref="F5:F51" si="1">SUM(D5-C5)</f>
        <v>-32.556659999999994</v>
      </c>
    </row>
    <row r="6" spans="1:6">
      <c r="A6" s="7">
        <v>1010200001</v>
      </c>
      <c r="B6" s="8" t="s">
        <v>229</v>
      </c>
      <c r="C6" s="9">
        <v>37.046999999999997</v>
      </c>
      <c r="D6" s="10">
        <v>4.4903399999999998</v>
      </c>
      <c r="E6" s="9">
        <f t="shared" ref="E6:E11" si="2">SUM(D6/C6*100)</f>
        <v>12.120657543120901</v>
      </c>
      <c r="F6" s="9">
        <f t="shared" si="1"/>
        <v>-32.556659999999994</v>
      </c>
    </row>
    <row r="7" spans="1:6" ht="31.5">
      <c r="A7" s="3">
        <v>1030000000</v>
      </c>
      <c r="B7" s="13" t="s">
        <v>281</v>
      </c>
      <c r="C7" s="5">
        <f>C8+C10+C9</f>
        <v>325.40500000000003</v>
      </c>
      <c r="D7" s="5">
        <f>D8+D10+D9+D11</f>
        <v>66.289490000000001</v>
      </c>
      <c r="E7" s="5">
        <f t="shared" si="2"/>
        <v>20.371380279958821</v>
      </c>
      <c r="F7" s="5">
        <f t="shared" si="1"/>
        <v>-259.11551000000003</v>
      </c>
    </row>
    <row r="8" spans="1:6">
      <c r="A8" s="7">
        <v>1030223001</v>
      </c>
      <c r="B8" s="8" t="s">
        <v>283</v>
      </c>
      <c r="C8" s="9">
        <v>121.37</v>
      </c>
      <c r="D8" s="10">
        <v>29.361139999999999</v>
      </c>
      <c r="E8" s="9">
        <f t="shared" si="2"/>
        <v>24.191431160912909</v>
      </c>
      <c r="F8" s="9">
        <f t="shared" si="1"/>
        <v>-92.008859999999999</v>
      </c>
    </row>
    <row r="9" spans="1:6">
      <c r="A9" s="7">
        <v>1030224001</v>
      </c>
      <c r="B9" s="8" t="s">
        <v>289</v>
      </c>
      <c r="C9" s="9">
        <v>1.3049999999999999</v>
      </c>
      <c r="D9" s="10">
        <v>0.19922999999999999</v>
      </c>
      <c r="E9" s="9">
        <f t="shared" si="2"/>
        <v>15.266666666666667</v>
      </c>
      <c r="F9" s="9">
        <f t="shared" si="1"/>
        <v>-1.1057699999999999</v>
      </c>
    </row>
    <row r="10" spans="1:6">
      <c r="A10" s="7">
        <v>1030225001</v>
      </c>
      <c r="B10" s="8" t="s">
        <v>282</v>
      </c>
      <c r="C10" s="9">
        <v>202.73</v>
      </c>
      <c r="D10" s="10">
        <v>43.125689999999999</v>
      </c>
      <c r="E10" s="9">
        <f t="shared" si="2"/>
        <v>21.272475706604844</v>
      </c>
      <c r="F10" s="9">
        <f t="shared" si="1"/>
        <v>-159.60431</v>
      </c>
    </row>
    <row r="11" spans="1:6">
      <c r="A11" s="7">
        <v>1030226001</v>
      </c>
      <c r="B11" s="8" t="s">
        <v>291</v>
      </c>
      <c r="C11" s="9">
        <v>0</v>
      </c>
      <c r="D11" s="10">
        <v>-6.3965699999999996</v>
      </c>
      <c r="E11" s="9" t="e">
        <f t="shared" si="2"/>
        <v>#DIV/0!</v>
      </c>
      <c r="F11" s="9">
        <f t="shared" si="1"/>
        <v>-6.3965699999999996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0.36059000000000002</v>
      </c>
      <c r="E12" s="5">
        <f t="shared" si="0"/>
        <v>3.6059000000000001</v>
      </c>
      <c r="F12" s="5">
        <f t="shared" si="1"/>
        <v>-9.6394099999999998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0.36059000000000002</v>
      </c>
      <c r="E13" s="9">
        <f t="shared" si="0"/>
        <v>3.6059000000000001</v>
      </c>
      <c r="F13" s="9">
        <f t="shared" si="1"/>
        <v>-9.6394099999999998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347</v>
      </c>
      <c r="D14" s="5">
        <f>D15+D16</f>
        <v>11.234919999999999</v>
      </c>
      <c r="E14" s="5">
        <f t="shared" si="0"/>
        <v>3.2377291066282421</v>
      </c>
      <c r="F14" s="5">
        <f t="shared" si="1"/>
        <v>-335.76508000000001</v>
      </c>
    </row>
    <row r="15" spans="1:6" s="6" customFormat="1" ht="15.75" customHeight="1">
      <c r="A15" s="7">
        <v>1060100000</v>
      </c>
      <c r="B15" s="11" t="s">
        <v>9</v>
      </c>
      <c r="C15" s="9">
        <v>42</v>
      </c>
      <c r="D15" s="10">
        <v>1.0947899999999999</v>
      </c>
      <c r="E15" s="9">
        <f t="shared" si="0"/>
        <v>2.606642857142857</v>
      </c>
      <c r="F15" s="9">
        <f>SUM(D15-C15)</f>
        <v>-40.905209999999997</v>
      </c>
    </row>
    <row r="16" spans="1:6" ht="15.75" customHeight="1">
      <c r="A16" s="7">
        <v>1060600000</v>
      </c>
      <c r="B16" s="11" t="s">
        <v>8</v>
      </c>
      <c r="C16" s="9">
        <v>305</v>
      </c>
      <c r="D16" s="10">
        <v>10.140129999999999</v>
      </c>
      <c r="E16" s="9">
        <f t="shared" si="0"/>
        <v>3.3246327868852452</v>
      </c>
      <c r="F16" s="9">
        <f t="shared" si="1"/>
        <v>-294.85987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0.6</v>
      </c>
      <c r="E17" s="5">
        <f t="shared" si="0"/>
        <v>12</v>
      </c>
      <c r="F17" s="5">
        <f t="shared" si="1"/>
        <v>-4.4000000000000004</v>
      </c>
    </row>
    <row r="18" spans="1:6" ht="16.5" customHeight="1">
      <c r="A18" s="7">
        <v>1080400001</v>
      </c>
      <c r="B18" s="8" t="s">
        <v>228</v>
      </c>
      <c r="C18" s="9">
        <v>5</v>
      </c>
      <c r="D18" s="10">
        <v>0.6</v>
      </c>
      <c r="E18" s="9">
        <f t="shared" si="0"/>
        <v>12</v>
      </c>
      <c r="F18" s="9">
        <f t="shared" si="1"/>
        <v>-4.4000000000000004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13</v>
      </c>
      <c r="C25" s="5">
        <f>C26+C29+C31+C37+C34</f>
        <v>109</v>
      </c>
      <c r="D25" s="5">
        <f>D26+D29+D31+D37+D34</f>
        <v>22.031120000000001</v>
      </c>
      <c r="E25" s="5">
        <f t="shared" si="0"/>
        <v>20.212036697247708</v>
      </c>
      <c r="F25" s="5">
        <f t="shared" si="1"/>
        <v>-86.968879999999999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79</v>
      </c>
      <c r="D26" s="5">
        <f>D27+D28</f>
        <v>17.252000000000002</v>
      </c>
      <c r="E26" s="5">
        <f t="shared" si="0"/>
        <v>21.837974683544306</v>
      </c>
      <c r="F26" s="5">
        <f t="shared" si="1"/>
        <v>-61.747999999999998</v>
      </c>
    </row>
    <row r="27" spans="1:6">
      <c r="A27" s="16">
        <v>1110502510</v>
      </c>
      <c r="B27" s="17" t="s">
        <v>226</v>
      </c>
      <c r="C27" s="12">
        <v>62</v>
      </c>
      <c r="D27" s="10">
        <v>12.9168</v>
      </c>
      <c r="E27" s="9">
        <f t="shared" si="0"/>
        <v>20.833548387096776</v>
      </c>
      <c r="F27" s="9">
        <f t="shared" si="1"/>
        <v>-49.083199999999998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4.3352000000000004</v>
      </c>
      <c r="E28" s="9">
        <f t="shared" si="0"/>
        <v>25.501176470588238</v>
      </c>
      <c r="F28" s="9">
        <f t="shared" si="1"/>
        <v>-12.6648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30</v>
      </c>
      <c r="D29" s="5">
        <f>D30</f>
        <v>4.7791199999999998</v>
      </c>
      <c r="E29" s="5">
        <f t="shared" si="0"/>
        <v>15.930400000000001</v>
      </c>
      <c r="F29" s="5">
        <f t="shared" si="1"/>
        <v>-25.220880000000001</v>
      </c>
    </row>
    <row r="30" spans="1:6">
      <c r="A30" s="7">
        <v>1130206005</v>
      </c>
      <c r="B30" s="8" t="s">
        <v>224</v>
      </c>
      <c r="C30" s="9">
        <v>30</v>
      </c>
      <c r="D30" s="10">
        <v>4.7791199999999998</v>
      </c>
      <c r="E30" s="9">
        <f t="shared" si="0"/>
        <v>15.930400000000001</v>
      </c>
      <c r="F30" s="9">
        <f t="shared" si="1"/>
        <v>-25.220880000000001</v>
      </c>
    </row>
    <row r="31" spans="1:6" ht="27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19</v>
      </c>
      <c r="C40" s="127">
        <f>SUM(C4,C25)</f>
        <v>833.452</v>
      </c>
      <c r="D40" s="400">
        <f>D4+D25</f>
        <v>105.00646</v>
      </c>
      <c r="E40" s="5">
        <f t="shared" si="0"/>
        <v>12.598981105090637</v>
      </c>
      <c r="F40" s="5">
        <f t="shared" si="1"/>
        <v>-728.44553999999994</v>
      </c>
    </row>
    <row r="41" spans="1:7" s="6" customFormat="1">
      <c r="A41" s="3">
        <v>2000000000</v>
      </c>
      <c r="B41" s="4" t="s">
        <v>20</v>
      </c>
      <c r="C41" s="5">
        <f>C42+C43+C44+C45+C46+C47+C50</f>
        <v>2706.39878</v>
      </c>
      <c r="D41" s="342">
        <f>D42+D43+D44+D45+D46+D47+D50</f>
        <v>239.48400000000001</v>
      </c>
      <c r="E41" s="5">
        <f t="shared" si="0"/>
        <v>8.848806826612595</v>
      </c>
      <c r="F41" s="5">
        <f t="shared" si="1"/>
        <v>-2466.9147800000001</v>
      </c>
      <c r="G41" s="19"/>
    </row>
    <row r="42" spans="1:7" ht="16.5" customHeight="1">
      <c r="A42" s="16">
        <v>2021000000</v>
      </c>
      <c r="B42" s="17" t="s">
        <v>21</v>
      </c>
      <c r="C42" s="12">
        <v>1347.9</v>
      </c>
      <c r="D42" s="12">
        <v>224.65</v>
      </c>
      <c r="E42" s="9">
        <f t="shared" si="0"/>
        <v>16.666666666666664</v>
      </c>
      <c r="F42" s="9">
        <f t="shared" si="1"/>
        <v>-1123.25</v>
      </c>
    </row>
    <row r="43" spans="1:7" ht="15.75" customHeight="1">
      <c r="A43" s="16">
        <v>2021500200</v>
      </c>
      <c r="B43" s="17" t="s">
        <v>232</v>
      </c>
      <c r="C43" s="12">
        <v>290</v>
      </c>
      <c r="D43" s="20">
        <v>0</v>
      </c>
      <c r="E43" s="9">
        <f t="shared" si="0"/>
        <v>0</v>
      </c>
      <c r="F43" s="9">
        <f t="shared" si="1"/>
        <v>-290</v>
      </c>
    </row>
    <row r="44" spans="1:7">
      <c r="A44" s="16">
        <v>2022000000</v>
      </c>
      <c r="B44" s="17" t="s">
        <v>22</v>
      </c>
      <c r="C44" s="12">
        <v>858.75699999999995</v>
      </c>
      <c r="D44" s="10">
        <v>0</v>
      </c>
      <c r="E44" s="9">
        <f t="shared" si="0"/>
        <v>0</v>
      </c>
      <c r="F44" s="9">
        <f t="shared" si="1"/>
        <v>-858.75699999999995</v>
      </c>
    </row>
    <row r="45" spans="1:7" ht="15" customHeight="1">
      <c r="A45" s="16">
        <v>2023000000</v>
      </c>
      <c r="B45" s="17" t="s">
        <v>23</v>
      </c>
      <c r="C45" s="12">
        <v>91.480999999999995</v>
      </c>
      <c r="D45" s="251">
        <v>14.834</v>
      </c>
      <c r="E45" s="9">
        <f t="shared" si="0"/>
        <v>16.215388987877262</v>
      </c>
      <c r="F45" s="9">
        <f t="shared" si="1"/>
        <v>-76.646999999999991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2"/>
      <c r="E48" s="9"/>
      <c r="F48" s="9"/>
    </row>
    <row r="49" spans="1:8" s="6" customFormat="1" ht="17.2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7">
        <v>2070500010</v>
      </c>
      <c r="B50" s="8" t="s">
        <v>353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3"/>
      <c r="B51" s="4" t="s">
        <v>28</v>
      </c>
      <c r="C51" s="377">
        <f>C40+C41</f>
        <v>3539.8507799999998</v>
      </c>
      <c r="D51" s="378">
        <f>D40+D41</f>
        <v>344.49045999999998</v>
      </c>
      <c r="E51" s="93">
        <f t="shared" si="0"/>
        <v>9.7317791457864793</v>
      </c>
      <c r="F51" s="93">
        <f t="shared" si="1"/>
        <v>-3195.3603199999998</v>
      </c>
      <c r="G51" s="94"/>
      <c r="H51" s="369"/>
    </row>
    <row r="52" spans="1:8" s="6" customFormat="1" ht="16.5" customHeight="1">
      <c r="A52" s="3"/>
      <c r="B52" s="21" t="s">
        <v>322</v>
      </c>
      <c r="C52" s="377">
        <f>C51-C98</f>
        <v>-27.771500000000287</v>
      </c>
      <c r="D52" s="377">
        <f>D51-D98</f>
        <v>83.887159999999994</v>
      </c>
      <c r="E52" s="281"/>
      <c r="F52" s="281"/>
    </row>
    <row r="53" spans="1:8">
      <c r="A53" s="23"/>
      <c r="B53" s="24"/>
      <c r="C53" s="325"/>
      <c r="D53" s="325"/>
      <c r="E53" s="26"/>
      <c r="F53" s="27"/>
    </row>
    <row r="54" spans="1:8" ht="32.25" customHeight="1">
      <c r="A54" s="28" t="s">
        <v>1</v>
      </c>
      <c r="B54" s="28" t="s">
        <v>29</v>
      </c>
      <c r="C54" s="248" t="s">
        <v>412</v>
      </c>
      <c r="D54" s="73" t="s">
        <v>418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30" t="s">
        <v>30</v>
      </c>
      <c r="B56" s="31" t="s">
        <v>31</v>
      </c>
      <c r="C56" s="33">
        <f>C57+C58+C59+C60+C61+C63+C62</f>
        <v>1086.1780000000001</v>
      </c>
      <c r="D56" s="33">
        <f>D57+D58+D59+D60+D61+D63+D62</f>
        <v>102.69219</v>
      </c>
      <c r="E56" s="34">
        <f>SUM(D56/C56*100)</f>
        <v>9.4544531375152125</v>
      </c>
      <c r="F56" s="34">
        <f>SUM(D56-C56)</f>
        <v>-983.48581000000013</v>
      </c>
    </row>
    <row r="57" spans="1:8" s="6" customFormat="1" ht="15.75" hidden="1" customHeight="1">
      <c r="A57" s="35" t="s">
        <v>32</v>
      </c>
      <c r="B57" s="36" t="s">
        <v>33</v>
      </c>
      <c r="C57" s="282"/>
      <c r="D57" s="282"/>
      <c r="E57" s="38"/>
      <c r="F57" s="38"/>
    </row>
    <row r="58" spans="1:8" ht="17.25" customHeight="1">
      <c r="A58" s="35" t="s">
        <v>34</v>
      </c>
      <c r="B58" s="39" t="s">
        <v>35</v>
      </c>
      <c r="C58" s="282">
        <v>1078.4780000000001</v>
      </c>
      <c r="D58" s="282">
        <v>100.11418999999999</v>
      </c>
      <c r="E58" s="38">
        <f t="shared" ref="E58:E98" si="3">SUM(D58/C58*100)</f>
        <v>9.2829144405356434</v>
      </c>
      <c r="F58" s="38">
        <f t="shared" ref="F58:F98" si="4">SUM(D58-C58)</f>
        <v>-978.36381000000006</v>
      </c>
    </row>
    <row r="59" spans="1:8" ht="17.25" hidden="1" customHeight="1">
      <c r="A59" s="35" t="s">
        <v>36</v>
      </c>
      <c r="B59" s="39" t="s">
        <v>37</v>
      </c>
      <c r="C59" s="282"/>
      <c r="D59" s="282"/>
      <c r="E59" s="38"/>
      <c r="F59" s="38">
        <f t="shared" si="4"/>
        <v>0</v>
      </c>
    </row>
    <row r="60" spans="1:8" ht="15.75" hidden="1" customHeight="1">
      <c r="A60" s="35" t="s">
        <v>38</v>
      </c>
      <c r="B60" s="39" t="s">
        <v>39</v>
      </c>
      <c r="C60" s="282"/>
      <c r="D60" s="282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40</v>
      </c>
      <c r="B61" s="39" t="s">
        <v>41</v>
      </c>
      <c r="C61" s="282">
        <v>0</v>
      </c>
      <c r="D61" s="282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42</v>
      </c>
      <c r="B62" s="39" t="s">
        <v>43</v>
      </c>
      <c r="C62" s="283">
        <v>5</v>
      </c>
      <c r="D62" s="283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44</v>
      </c>
      <c r="B63" s="39" t="s">
        <v>45</v>
      </c>
      <c r="C63" s="282">
        <v>2.7</v>
      </c>
      <c r="D63" s="282">
        <v>2.5779999999999998</v>
      </c>
      <c r="E63" s="38">
        <f t="shared" si="3"/>
        <v>95.481481481481467</v>
      </c>
      <c r="F63" s="38">
        <f t="shared" si="4"/>
        <v>-0.12200000000000033</v>
      </c>
    </row>
    <row r="64" spans="1:8" s="6" customFormat="1">
      <c r="A64" s="41" t="s">
        <v>46</v>
      </c>
      <c r="B64" s="42" t="s">
        <v>47</v>
      </c>
      <c r="C64" s="33">
        <f>C65</f>
        <v>89.944999999999993</v>
      </c>
      <c r="D64" s="33">
        <f>D65</f>
        <v>9.3450100000000003</v>
      </c>
      <c r="E64" s="34">
        <f t="shared" si="3"/>
        <v>10.3896937017066</v>
      </c>
      <c r="F64" s="34">
        <f t="shared" si="4"/>
        <v>-80.599989999999991</v>
      </c>
    </row>
    <row r="65" spans="1:9">
      <c r="A65" s="43" t="s">
        <v>48</v>
      </c>
      <c r="B65" s="44" t="s">
        <v>49</v>
      </c>
      <c r="C65" s="282">
        <v>89.944999999999993</v>
      </c>
      <c r="D65" s="282">
        <v>9.3450100000000003</v>
      </c>
      <c r="E65" s="38">
        <f t="shared" si="3"/>
        <v>10.3896937017066</v>
      </c>
      <c r="F65" s="38">
        <f t="shared" si="4"/>
        <v>-80.599989999999991</v>
      </c>
    </row>
    <row r="66" spans="1:9" s="6" customFormat="1" ht="18" customHeight="1">
      <c r="A66" s="30" t="s">
        <v>50</v>
      </c>
      <c r="B66" s="31" t="s">
        <v>51</v>
      </c>
      <c r="C66" s="33">
        <f>C69+C70+C71</f>
        <v>8</v>
      </c>
      <c r="D66" s="33">
        <f>D69+D70</f>
        <v>0</v>
      </c>
      <c r="E66" s="34">
        <f t="shared" si="3"/>
        <v>0</v>
      </c>
      <c r="F66" s="34">
        <f t="shared" si="4"/>
        <v>-8</v>
      </c>
    </row>
    <row r="67" spans="1:9" ht="1.5" hidden="1" customHeight="1">
      <c r="A67" s="35" t="s">
        <v>52</v>
      </c>
      <c r="B67" s="39" t="s">
        <v>53</v>
      </c>
      <c r="C67" s="28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4">
        <v>1</v>
      </c>
      <c r="D69" s="33">
        <v>0</v>
      </c>
      <c r="E69" s="34">
        <f t="shared" si="3"/>
        <v>0</v>
      </c>
      <c r="F69" s="34">
        <f t="shared" si="4"/>
        <v>-1</v>
      </c>
    </row>
    <row r="70" spans="1:9">
      <c r="A70" s="46" t="s">
        <v>219</v>
      </c>
      <c r="B70" s="47" t="s">
        <v>220</v>
      </c>
      <c r="C70" s="282">
        <v>5</v>
      </c>
      <c r="D70" s="282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358</v>
      </c>
      <c r="B71" s="47" t="s">
        <v>438</v>
      </c>
      <c r="C71" s="282">
        <v>2</v>
      </c>
      <c r="D71" s="282"/>
      <c r="E71" s="34"/>
      <c r="F71" s="34"/>
    </row>
    <row r="72" spans="1:9" s="6" customFormat="1" ht="17.25" customHeight="1">
      <c r="A72" s="30" t="s">
        <v>58</v>
      </c>
      <c r="B72" s="31" t="s">
        <v>59</v>
      </c>
      <c r="C72" s="33">
        <f>SUM(C73:C76)</f>
        <v>1405.5992800000001</v>
      </c>
      <c r="D72" s="33">
        <f>SUM(D73:D76)</f>
        <v>11.866099999999999</v>
      </c>
      <c r="E72" s="34">
        <f t="shared" si="3"/>
        <v>0.84420219680249109</v>
      </c>
      <c r="F72" s="34">
        <f t="shared" si="4"/>
        <v>-1393.7331800000002</v>
      </c>
      <c r="I72" s="108"/>
    </row>
    <row r="73" spans="1:9" ht="15.75" customHeight="1">
      <c r="A73" s="35" t="s">
        <v>60</v>
      </c>
      <c r="B73" s="39" t="s">
        <v>61</v>
      </c>
      <c r="C73" s="282">
        <v>4.0214999999999996</v>
      </c>
      <c r="D73" s="282">
        <v>0</v>
      </c>
      <c r="E73" s="38">
        <f t="shared" si="3"/>
        <v>0</v>
      </c>
      <c r="F73" s="38">
        <f t="shared" si="4"/>
        <v>-4.0214999999999996</v>
      </c>
    </row>
    <row r="74" spans="1:9" s="6" customFormat="1" ht="19.5" customHeight="1">
      <c r="A74" s="35" t="s">
        <v>62</v>
      </c>
      <c r="B74" s="39" t="s">
        <v>63</v>
      </c>
      <c r="C74" s="282">
        <v>30</v>
      </c>
      <c r="D74" s="282">
        <v>0</v>
      </c>
      <c r="E74" s="38">
        <f t="shared" si="3"/>
        <v>0</v>
      </c>
      <c r="F74" s="38">
        <f t="shared" si="4"/>
        <v>-30</v>
      </c>
      <c r="G74" s="50"/>
    </row>
    <row r="75" spans="1:9">
      <c r="A75" s="35" t="s">
        <v>64</v>
      </c>
      <c r="B75" s="39" t="s">
        <v>65</v>
      </c>
      <c r="C75" s="282">
        <v>1333.4227800000001</v>
      </c>
      <c r="D75" s="282">
        <v>11.866099999999999</v>
      </c>
      <c r="E75" s="38">
        <f t="shared" si="3"/>
        <v>0.88989780120600592</v>
      </c>
      <c r="F75" s="38">
        <f t="shared" si="4"/>
        <v>-1321.5566800000001</v>
      </c>
    </row>
    <row r="76" spans="1:9">
      <c r="A76" s="35" t="s">
        <v>66</v>
      </c>
      <c r="B76" s="39" t="s">
        <v>67</v>
      </c>
      <c r="C76" s="282">
        <v>38.155000000000001</v>
      </c>
      <c r="D76" s="282">
        <v>0</v>
      </c>
      <c r="E76" s="38">
        <f t="shared" si="3"/>
        <v>0</v>
      </c>
      <c r="F76" s="38">
        <f t="shared" si="4"/>
        <v>-38.155000000000001</v>
      </c>
    </row>
    <row r="77" spans="1:9" s="6" customFormat="1" ht="18" customHeight="1">
      <c r="A77" s="30" t="s">
        <v>68</v>
      </c>
      <c r="B77" s="31" t="s">
        <v>69</v>
      </c>
      <c r="C77" s="33">
        <f>SUM(C78:C80)</f>
        <v>175.5</v>
      </c>
      <c r="D77" s="33">
        <f>SUM(D78:D80)</f>
        <v>0</v>
      </c>
      <c r="E77" s="34">
        <f t="shared" si="3"/>
        <v>0</v>
      </c>
      <c r="F77" s="34">
        <f t="shared" si="4"/>
        <v>-175.5</v>
      </c>
    </row>
    <row r="78" spans="1:9" ht="15" hidden="1" customHeight="1">
      <c r="A78" s="35" t="s">
        <v>70</v>
      </c>
      <c r="B78" s="51" t="s">
        <v>71</v>
      </c>
      <c r="C78" s="282"/>
      <c r="D78" s="282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72</v>
      </c>
      <c r="B79" s="51" t="s">
        <v>73</v>
      </c>
      <c r="C79" s="282"/>
      <c r="D79" s="282"/>
      <c r="E79" s="38" t="e">
        <f t="shared" si="3"/>
        <v>#DIV/0!</v>
      </c>
      <c r="F79" s="38">
        <f t="shared" si="4"/>
        <v>0</v>
      </c>
    </row>
    <row r="80" spans="1:9">
      <c r="A80" s="35" t="s">
        <v>74</v>
      </c>
      <c r="B80" s="39" t="s">
        <v>75</v>
      </c>
      <c r="C80" s="282">
        <v>175.5</v>
      </c>
      <c r="D80" s="282">
        <v>0</v>
      </c>
      <c r="E80" s="38">
        <f t="shared" si="3"/>
        <v>0</v>
      </c>
      <c r="F80" s="38">
        <f t="shared" si="4"/>
        <v>-175.5</v>
      </c>
    </row>
    <row r="81" spans="1:12" s="6" customFormat="1">
      <c r="A81" s="30" t="s">
        <v>86</v>
      </c>
      <c r="B81" s="31" t="s">
        <v>87</v>
      </c>
      <c r="C81" s="33">
        <f>C82</f>
        <v>801.4</v>
      </c>
      <c r="D81" s="33">
        <f>SUM(D82)</f>
        <v>136.69999999999999</v>
      </c>
      <c r="E81" s="34">
        <f t="shared" si="3"/>
        <v>17.05764911405041</v>
      </c>
      <c r="F81" s="34">
        <f t="shared" si="4"/>
        <v>-664.7</v>
      </c>
    </row>
    <row r="82" spans="1:12" ht="15.75" customHeight="1">
      <c r="A82" s="35" t="s">
        <v>88</v>
      </c>
      <c r="B82" s="39" t="s">
        <v>234</v>
      </c>
      <c r="C82" s="282">
        <v>801.4</v>
      </c>
      <c r="D82" s="282">
        <v>136.69999999999999</v>
      </c>
      <c r="E82" s="38">
        <f t="shared" si="3"/>
        <v>17.05764911405041</v>
      </c>
      <c r="F82" s="38">
        <f t="shared" si="4"/>
        <v>-664.7</v>
      </c>
      <c r="L82" s="107"/>
    </row>
    <row r="83" spans="1:12" s="6" customFormat="1">
      <c r="A83" s="52">
        <v>1000</v>
      </c>
      <c r="B83" s="31" t="s">
        <v>89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3">
        <v>1001</v>
      </c>
      <c r="B84" s="54" t="s">
        <v>90</v>
      </c>
      <c r="C84" s="282"/>
      <c r="D84" s="282"/>
      <c r="E84" s="352" t="e">
        <f>SUM(D84/C84*100)</f>
        <v>#DIV/0!</v>
      </c>
      <c r="F84" s="352">
        <f>SUM(D84-C84)</f>
        <v>0</v>
      </c>
    </row>
    <row r="85" spans="1:12" hidden="1">
      <c r="A85" s="53">
        <v>1003</v>
      </c>
      <c r="B85" s="54" t="s">
        <v>91</v>
      </c>
      <c r="C85" s="282"/>
      <c r="D85" s="282"/>
      <c r="E85" s="352" t="e">
        <f>SUM(D85/C85*100)</f>
        <v>#DIV/0!</v>
      </c>
      <c r="F85" s="352">
        <f>SUM(D85-C85)</f>
        <v>0</v>
      </c>
    </row>
    <row r="86" spans="1:12" hidden="1">
      <c r="A86" s="53">
        <v>1004</v>
      </c>
      <c r="B86" s="54" t="s">
        <v>92</v>
      </c>
      <c r="C86" s="282"/>
      <c r="D86" s="285"/>
      <c r="E86" s="352" t="e">
        <f>SUM(D86/C86*100)</f>
        <v>#DIV/0!</v>
      </c>
      <c r="F86" s="352">
        <f>SUM(D86-C86)</f>
        <v>0</v>
      </c>
    </row>
    <row r="87" spans="1:12" ht="15" customHeight="1">
      <c r="A87" s="35" t="s">
        <v>93</v>
      </c>
      <c r="B87" s="39" t="s">
        <v>94</v>
      </c>
      <c r="C87" s="282">
        <v>0</v>
      </c>
      <c r="D87" s="282">
        <v>0</v>
      </c>
      <c r="E87" s="352" t="e">
        <f>SUM(D87/C87*100)</f>
        <v>#DIV/0!</v>
      </c>
      <c r="F87" s="352">
        <f>SUM(D87-C87)</f>
        <v>0</v>
      </c>
    </row>
    <row r="88" spans="1:12" ht="19.5" customHeight="1">
      <c r="A88" s="30" t="s">
        <v>95</v>
      </c>
      <c r="B88" s="31" t="s">
        <v>96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5" t="s">
        <v>97</v>
      </c>
      <c r="B89" s="39" t="s">
        <v>98</v>
      </c>
      <c r="C89" s="282">
        <v>1</v>
      </c>
      <c r="D89" s="282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99</v>
      </c>
      <c r="B90" s="39" t="s">
        <v>100</v>
      </c>
      <c r="C90" s="282"/>
      <c r="D90" s="282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101</v>
      </c>
      <c r="B91" s="39" t="s">
        <v>102</v>
      </c>
      <c r="C91" s="282"/>
      <c r="D91" s="282"/>
      <c r="E91" s="38" t="e">
        <f t="shared" si="3"/>
        <v>#DIV/0!</v>
      </c>
      <c r="F91" s="38"/>
    </row>
    <row r="92" spans="1:12" ht="3" hidden="1" customHeight="1">
      <c r="A92" s="35" t="s">
        <v>103</v>
      </c>
      <c r="B92" s="39" t="s">
        <v>104</v>
      </c>
      <c r="C92" s="282"/>
      <c r="D92" s="282"/>
      <c r="E92" s="38" t="e">
        <f t="shared" si="3"/>
        <v>#DIV/0!</v>
      </c>
      <c r="F92" s="38"/>
    </row>
    <row r="93" spans="1:12" ht="15" hidden="1" customHeight="1">
      <c r="A93" s="35" t="s">
        <v>105</v>
      </c>
      <c r="B93" s="39" t="s">
        <v>106</v>
      </c>
      <c r="C93" s="282"/>
      <c r="D93" s="282"/>
      <c r="E93" s="38" t="e">
        <f t="shared" si="3"/>
        <v>#DIV/0!</v>
      </c>
      <c r="F93" s="38"/>
    </row>
    <row r="94" spans="1:12" s="6" customFormat="1" ht="12" hidden="1" customHeight="1">
      <c r="A94" s="52">
        <v>1400</v>
      </c>
      <c r="B94" s="56" t="s">
        <v>115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3">
        <v>1401</v>
      </c>
      <c r="B95" s="54" t="s">
        <v>116</v>
      </c>
      <c r="C95" s="282"/>
      <c r="D95" s="282"/>
      <c r="E95" s="38" t="e">
        <f t="shared" si="3"/>
        <v>#DIV/0!</v>
      </c>
      <c r="F95" s="38">
        <f t="shared" si="4"/>
        <v>0</v>
      </c>
    </row>
    <row r="96" spans="1:12" hidden="1">
      <c r="A96" s="53">
        <v>1402</v>
      </c>
      <c r="B96" s="54" t="s">
        <v>117</v>
      </c>
      <c r="C96" s="282"/>
      <c r="D96" s="282"/>
      <c r="E96" s="38" t="e">
        <f t="shared" si="3"/>
        <v>#DIV/0!</v>
      </c>
      <c r="F96" s="38">
        <f t="shared" si="4"/>
        <v>0</v>
      </c>
    </row>
    <row r="97" spans="1:7" ht="23.25" hidden="1" customHeight="1">
      <c r="A97" s="53">
        <v>1403</v>
      </c>
      <c r="B97" s="54" t="s">
        <v>118</v>
      </c>
      <c r="C97" s="282"/>
      <c r="D97" s="282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119</v>
      </c>
      <c r="C98" s="379">
        <f>C56+C64+C66+C72+C77+C81+C88+C83</f>
        <v>3567.62228</v>
      </c>
      <c r="D98" s="379">
        <f>D56+D64+D66+D72+D77+D81+D88+D83</f>
        <v>260.60329999999999</v>
      </c>
      <c r="E98" s="34">
        <f t="shared" si="3"/>
        <v>7.3046774447209692</v>
      </c>
      <c r="F98" s="34">
        <f t="shared" si="4"/>
        <v>-3307.0189799999998</v>
      </c>
      <c r="G98" s="151"/>
    </row>
    <row r="99" spans="1:7" ht="20.25" customHeight="1">
      <c r="C99" s="126"/>
      <c r="D99" s="101"/>
    </row>
    <row r="100" spans="1:7" s="65" customFormat="1" ht="13.5" customHeight="1">
      <c r="A100" s="63" t="s">
        <v>120</v>
      </c>
      <c r="B100" s="63"/>
      <c r="C100" s="116"/>
      <c r="D100" s="64"/>
      <c r="E100" s="64"/>
    </row>
    <row r="101" spans="1:7" s="65" customFormat="1" ht="12.75">
      <c r="A101" s="66" t="s">
        <v>121</v>
      </c>
      <c r="B101" s="66"/>
      <c r="C101" s="134" t="s">
        <v>122</v>
      </c>
      <c r="D101" s="134"/>
    </row>
    <row r="102" spans="1:7">
      <c r="C102" s="120"/>
    </row>
    <row r="104" spans="1:7" ht="5.25" customHeight="1"/>
    <row r="142" hidden="1"/>
  </sheetData>
  <customSheetViews>
    <customSheetView guid="{37D0E254-14A1-48DF-98B1-097427A51078}" scale="70" showPageBreaks="1" hiddenRows="1" view="pageBreakPreview" topLeftCell="A29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6"/>
    </customSheetView>
    <customSheetView guid="{61528DAC-5C4C-48F4-ADE2-8A724B05A086}" scale="70" showPageBreaks="1" hiddenRows="1" view="pageBreakPreview" topLeftCell="A29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7"/>
    </customSheetView>
    <customSheetView guid="{1A52382B-3765-4E8C-903F-6B8919B7242E}" scale="70" showPageBreaks="1" hiddenRows="1" view="pageBreakPreview" topLeftCell="A36">
      <selection activeCell="D88" sqref="D88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hiddenRows="1" view="pageBreakPreview" topLeftCell="A29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42"/>
  <sheetViews>
    <sheetView view="pageBreakPreview" topLeftCell="A30" zoomScale="70" zoomScaleNormal="100" zoomScaleSheetLayoutView="70" workbookViewId="0">
      <selection activeCell="A70" sqref="A70:XFD70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434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2613.5920000000001</v>
      </c>
      <c r="D4" s="5">
        <f>D5+D12+D14+D17+D7</f>
        <v>340.96084999999999</v>
      </c>
      <c r="E4" s="5">
        <f>SUM(D4/C4*100)</f>
        <v>13.045680044934327</v>
      </c>
      <c r="F4" s="5">
        <f>SUM(D4-C4)</f>
        <v>-2272.6311500000002</v>
      </c>
    </row>
    <row r="5" spans="1:6" s="6" customFormat="1">
      <c r="A5" s="68">
        <v>1010000000</v>
      </c>
      <c r="B5" s="67" t="s">
        <v>6</v>
      </c>
      <c r="C5" s="5">
        <f>C6</f>
        <v>132.63200000000001</v>
      </c>
      <c r="D5" s="5">
        <f>D6</f>
        <v>12.7942</v>
      </c>
      <c r="E5" s="5">
        <f t="shared" ref="E5:E50" si="0">SUM(D5/C5*100)</f>
        <v>9.6463900114602801</v>
      </c>
      <c r="F5" s="5">
        <f t="shared" ref="F5:F50" si="1">SUM(D5-C5)</f>
        <v>-119.8378</v>
      </c>
    </row>
    <row r="6" spans="1:6">
      <c r="A6" s="7">
        <v>1010200001</v>
      </c>
      <c r="B6" s="8" t="s">
        <v>229</v>
      </c>
      <c r="C6" s="9">
        <v>132.63200000000001</v>
      </c>
      <c r="D6" s="10">
        <v>12.7942</v>
      </c>
      <c r="E6" s="9">
        <f t="shared" ref="E6:E11" si="2">SUM(D6/C6*100)</f>
        <v>9.6463900114602801</v>
      </c>
      <c r="F6" s="9">
        <f t="shared" si="1"/>
        <v>-119.8378</v>
      </c>
    </row>
    <row r="7" spans="1:6" ht="31.5">
      <c r="A7" s="3">
        <v>1030000000</v>
      </c>
      <c r="B7" s="13" t="s">
        <v>281</v>
      </c>
      <c r="C7" s="390">
        <f>C8+C10+C9</f>
        <v>499.96000000000004</v>
      </c>
      <c r="D7" s="342">
        <f>D8+D10+D9+D11</f>
        <v>101.84877</v>
      </c>
      <c r="E7" s="5">
        <f t="shared" si="2"/>
        <v>20.371383710696854</v>
      </c>
      <c r="F7" s="5">
        <f t="shared" si="1"/>
        <v>-398.11123000000003</v>
      </c>
    </row>
    <row r="8" spans="1:6">
      <c r="A8" s="7">
        <v>1030223001</v>
      </c>
      <c r="B8" s="8" t="s">
        <v>283</v>
      </c>
      <c r="C8" s="9">
        <v>186.49</v>
      </c>
      <c r="D8" s="10">
        <v>45.111159999999998</v>
      </c>
      <c r="E8" s="9">
        <f t="shared" si="2"/>
        <v>24.189586573006594</v>
      </c>
      <c r="F8" s="9">
        <f t="shared" si="1"/>
        <v>-141.37884000000003</v>
      </c>
    </row>
    <row r="9" spans="1:6">
      <c r="A9" s="7">
        <v>1030224001</v>
      </c>
      <c r="B9" s="8" t="s">
        <v>289</v>
      </c>
      <c r="C9" s="9">
        <v>2</v>
      </c>
      <c r="D9" s="10">
        <v>0.30609999999999998</v>
      </c>
      <c r="E9" s="9">
        <f t="shared" si="2"/>
        <v>15.305</v>
      </c>
      <c r="F9" s="9">
        <f t="shared" si="1"/>
        <v>-1.6939</v>
      </c>
    </row>
    <row r="10" spans="1:6">
      <c r="A10" s="7">
        <v>1030225001</v>
      </c>
      <c r="B10" s="8" t="s">
        <v>282</v>
      </c>
      <c r="C10" s="9">
        <v>311.47000000000003</v>
      </c>
      <c r="D10" s="10">
        <v>66.259330000000006</v>
      </c>
      <c r="E10" s="9">
        <f t="shared" si="2"/>
        <v>21.273101743346068</v>
      </c>
      <c r="F10" s="9">
        <f t="shared" si="1"/>
        <v>-245.21067000000002</v>
      </c>
    </row>
    <row r="11" spans="1:6">
      <c r="A11" s="7">
        <v>1030226001</v>
      </c>
      <c r="B11" s="8" t="s">
        <v>291</v>
      </c>
      <c r="C11" s="9">
        <v>0</v>
      </c>
      <c r="D11" s="10">
        <v>-9.8278199999999991</v>
      </c>
      <c r="E11" s="9" t="e">
        <f t="shared" si="2"/>
        <v>#DIV/0!</v>
      </c>
      <c r="F11" s="9">
        <f t="shared" si="1"/>
        <v>-9.8278199999999991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1.4589000000000001</v>
      </c>
      <c r="E12" s="5">
        <f t="shared" si="0"/>
        <v>3.6472500000000005</v>
      </c>
      <c r="F12" s="5">
        <f t="shared" si="1"/>
        <v>-38.5411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1.4589000000000001</v>
      </c>
      <c r="E13" s="9">
        <f t="shared" si="0"/>
        <v>3.6472500000000005</v>
      </c>
      <c r="F13" s="9">
        <f t="shared" si="1"/>
        <v>-38.5411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1929</v>
      </c>
      <c r="D14" s="5">
        <f>D15+D16</f>
        <v>222.35898</v>
      </c>
      <c r="E14" s="5">
        <f t="shared" si="0"/>
        <v>11.527163297045101</v>
      </c>
      <c r="F14" s="5">
        <f t="shared" si="1"/>
        <v>-1706.64102</v>
      </c>
    </row>
    <row r="15" spans="1:6" s="6" customFormat="1" ht="15.75" customHeight="1">
      <c r="A15" s="7">
        <v>1060100000</v>
      </c>
      <c r="B15" s="11" t="s">
        <v>9</v>
      </c>
      <c r="C15" s="9">
        <v>229</v>
      </c>
      <c r="D15" s="10">
        <v>9.3008400000000009</v>
      </c>
      <c r="E15" s="9">
        <f t="shared" si="0"/>
        <v>4.0615021834061142</v>
      </c>
      <c r="F15" s="9">
        <f>SUM(D15-C15)</f>
        <v>-219.69916000000001</v>
      </c>
    </row>
    <row r="16" spans="1:6" ht="15.75" customHeight="1">
      <c r="A16" s="7">
        <v>1060600000</v>
      </c>
      <c r="B16" s="11" t="s">
        <v>8</v>
      </c>
      <c r="C16" s="9">
        <v>1700</v>
      </c>
      <c r="D16" s="10">
        <v>213.05814000000001</v>
      </c>
      <c r="E16" s="9">
        <f t="shared" si="0"/>
        <v>12.532831764705882</v>
      </c>
      <c r="F16" s="9">
        <f t="shared" si="1"/>
        <v>-1486.9418599999999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2.5</v>
      </c>
      <c r="E17" s="5">
        <f t="shared" si="0"/>
        <v>20.833333333333336</v>
      </c>
      <c r="F17" s="5">
        <f t="shared" si="1"/>
        <v>-9.5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2.5</v>
      </c>
      <c r="E18" s="9">
        <f t="shared" si="0"/>
        <v>20.833333333333336</v>
      </c>
      <c r="F18" s="9">
        <f t="shared" si="1"/>
        <v>-9.5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275.10000000000002</v>
      </c>
      <c r="D25" s="5">
        <f>D26+D29+D31+D36+D34</f>
        <v>17.15052</v>
      </c>
      <c r="E25" s="5">
        <f t="shared" si="0"/>
        <v>6.234285714285714</v>
      </c>
      <c r="F25" s="5">
        <f t="shared" si="1"/>
        <v>-257.94947999999999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275.10000000000002</v>
      </c>
      <c r="D26" s="5">
        <f>D27+D28</f>
        <v>14.3795</v>
      </c>
      <c r="E26" s="5">
        <f t="shared" si="0"/>
        <v>5.2270083605961464</v>
      </c>
      <c r="F26" s="5">
        <f t="shared" si="1"/>
        <v>-260.72050000000002</v>
      </c>
    </row>
    <row r="27" spans="1:6">
      <c r="A27" s="16">
        <v>1110502510</v>
      </c>
      <c r="B27" s="17" t="s">
        <v>226</v>
      </c>
      <c r="C27" s="12">
        <v>224.4</v>
      </c>
      <c r="D27" s="10">
        <v>2.8</v>
      </c>
      <c r="E27" s="9">
        <f t="shared" si="0"/>
        <v>1.2477718360071299</v>
      </c>
      <c r="F27" s="9">
        <f t="shared" si="1"/>
        <v>-221.6</v>
      </c>
    </row>
    <row r="28" spans="1:6">
      <c r="A28" s="7">
        <v>1110503510</v>
      </c>
      <c r="B28" s="11" t="s">
        <v>225</v>
      </c>
      <c r="C28" s="12">
        <v>50.7</v>
      </c>
      <c r="D28" s="10">
        <v>11.579499999999999</v>
      </c>
      <c r="E28" s="9">
        <f t="shared" si="0"/>
        <v>22.839250493096642</v>
      </c>
      <c r="F28" s="9">
        <f t="shared" si="1"/>
        <v>-39.120500000000007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2.77102</v>
      </c>
      <c r="E29" s="5" t="e">
        <f t="shared" si="0"/>
        <v>#DIV/0!</v>
      </c>
      <c r="F29" s="5">
        <f t="shared" si="1"/>
        <v>2.77102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2.77102</v>
      </c>
      <c r="E30" s="9" t="e">
        <f t="shared" si="0"/>
        <v>#DIV/0!</v>
      </c>
      <c r="F30" s="9">
        <f t="shared" si="1"/>
        <v>2.77102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2888.692</v>
      </c>
      <c r="D39" s="127">
        <f>SUM(D4,D25)</f>
        <v>358.11136999999997</v>
      </c>
      <c r="E39" s="5">
        <f t="shared" si="0"/>
        <v>12.397007711448641</v>
      </c>
      <c r="F39" s="5">
        <f t="shared" si="1"/>
        <v>-2530.5806299999999</v>
      </c>
    </row>
    <row r="40" spans="1:7" s="6" customFormat="1">
      <c r="A40" s="3">
        <v>2000000000</v>
      </c>
      <c r="B40" s="4" t="s">
        <v>20</v>
      </c>
      <c r="C40" s="342">
        <f>C41+C43+C44+C45+C46+C47+C48+C42</f>
        <v>2185.7179999999998</v>
      </c>
      <c r="D40" s="342">
        <f>SUM(D41:D48)</f>
        <v>142.79999999999998</v>
      </c>
      <c r="E40" s="5">
        <f t="shared" si="0"/>
        <v>6.5333222309556866</v>
      </c>
      <c r="F40" s="5">
        <f t="shared" si="1"/>
        <v>-2042.9179999999999</v>
      </c>
      <c r="G40" s="19"/>
    </row>
    <row r="41" spans="1:7" ht="15" customHeight="1">
      <c r="A41" s="16">
        <v>2021000000</v>
      </c>
      <c r="B41" s="17" t="s">
        <v>21</v>
      </c>
      <c r="C41" s="12">
        <v>767.8</v>
      </c>
      <c r="D41" s="441">
        <v>127.96599999999999</v>
      </c>
      <c r="E41" s="9">
        <f t="shared" si="0"/>
        <v>16.666579838499608</v>
      </c>
      <c r="F41" s="9">
        <f t="shared" si="1"/>
        <v>-639.83399999999995</v>
      </c>
    </row>
    <row r="42" spans="1:7" ht="1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1326.182</v>
      </c>
      <c r="D43" s="10">
        <v>0</v>
      </c>
      <c r="E43" s="9">
        <f t="shared" si="0"/>
        <v>0</v>
      </c>
      <c r="F43" s="9">
        <f t="shared" si="1"/>
        <v>-1326.182</v>
      </c>
    </row>
    <row r="44" spans="1:7" ht="18.75" customHeight="1">
      <c r="A44" s="16">
        <v>2023000000</v>
      </c>
      <c r="B44" s="17" t="s">
        <v>23</v>
      </c>
      <c r="C44" s="12">
        <v>91.736000000000004</v>
      </c>
      <c r="D44" s="251">
        <v>14.834</v>
      </c>
      <c r="E44" s="9">
        <f t="shared" si="0"/>
        <v>16.170314816429755</v>
      </c>
      <c r="F44" s="9">
        <f t="shared" si="1"/>
        <v>-76.902000000000001</v>
      </c>
    </row>
    <row r="45" spans="1:7" ht="17.25" customHeight="1">
      <c r="A45" s="16">
        <v>2020400000</v>
      </c>
      <c r="B45" s="17" t="s">
        <v>24</v>
      </c>
      <c r="C45" s="12">
        <v>0</v>
      </c>
      <c r="D45" s="252">
        <v>0</v>
      </c>
      <c r="E45" s="9" t="e">
        <f t="shared" si="0"/>
        <v>#DIV/0!</v>
      </c>
      <c r="F45" s="9">
        <f t="shared" si="1"/>
        <v>0</v>
      </c>
    </row>
    <row r="46" spans="1:7" ht="16.5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26</v>
      </c>
      <c r="C47" s="10">
        <v>0</v>
      </c>
      <c r="D47" s="443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303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7" s="6" customFormat="1">
      <c r="A49" s="353">
        <v>2190000010</v>
      </c>
      <c r="B49" s="354" t="s">
        <v>26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7" s="6" customFormat="1" ht="19.5" customHeight="1">
      <c r="A50" s="3"/>
      <c r="B50" s="4" t="s">
        <v>28</v>
      </c>
      <c r="C50" s="372">
        <f>C39+C40</f>
        <v>5074.41</v>
      </c>
      <c r="D50" s="373">
        <f>D39+D40</f>
        <v>500.91136999999992</v>
      </c>
      <c r="E50" s="5">
        <f t="shared" si="0"/>
        <v>9.8713223803358403</v>
      </c>
      <c r="F50" s="5">
        <f t="shared" si="1"/>
        <v>-4573.49863</v>
      </c>
      <c r="G50" s="94"/>
    </row>
    <row r="51" spans="1:7" s="6" customFormat="1">
      <c r="A51" s="3"/>
      <c r="B51" s="21" t="s">
        <v>321</v>
      </c>
      <c r="C51" s="372">
        <f>C50-C97</f>
        <v>-315.82879999999932</v>
      </c>
      <c r="D51" s="372">
        <f>D50-D97</f>
        <v>126.33412999999996</v>
      </c>
      <c r="E51" s="22"/>
      <c r="F51" s="22"/>
    </row>
    <row r="52" spans="1:7">
      <c r="A52" s="23"/>
      <c r="B52" s="24"/>
      <c r="C52" s="350"/>
      <c r="D52" s="350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3" t="s">
        <v>412</v>
      </c>
      <c r="D53" s="244" t="s">
        <v>418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6">
        <f>C56+C57+C58+C59+C60+C62+C61</f>
        <v>1434.2819999999999</v>
      </c>
      <c r="D55" s="32">
        <f>D56+D57+D58+D59+D60+D62+D61</f>
        <v>139.40190999999999</v>
      </c>
      <c r="E55" s="34">
        <f>SUM(D55/C55*100)</f>
        <v>9.7192818427617436</v>
      </c>
      <c r="F55" s="34">
        <f>SUM(D55-C55)</f>
        <v>-1294.8800899999999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1425.6</v>
      </c>
      <c r="D57" s="37">
        <v>135.71991</v>
      </c>
      <c r="E57" s="34">
        <f>SUM(D57/C57*100)</f>
        <v>9.5201957070707088</v>
      </c>
      <c r="F57" s="38">
        <f t="shared" ref="F57:F97" si="3">SUM(D57-C57)</f>
        <v>-1289.8800899999999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3.6819999999999999</v>
      </c>
      <c r="D62" s="37">
        <v>3.6819999999999999</v>
      </c>
      <c r="E62" s="38">
        <f t="shared" si="4"/>
        <v>100</v>
      </c>
      <c r="F62" s="38">
        <f t="shared" si="3"/>
        <v>0</v>
      </c>
    </row>
    <row r="63" spans="1:7" s="6" customFormat="1">
      <c r="A63" s="41" t="s">
        <v>46</v>
      </c>
      <c r="B63" s="42" t="s">
        <v>47</v>
      </c>
      <c r="C63" s="32">
        <f>C64</f>
        <v>89.945999999999998</v>
      </c>
      <c r="D63" s="32">
        <f>D64</f>
        <v>9.3432899999999997</v>
      </c>
      <c r="E63" s="34">
        <f t="shared" si="4"/>
        <v>10.387665932893068</v>
      </c>
      <c r="F63" s="34">
        <f t="shared" si="3"/>
        <v>-80.602710000000002</v>
      </c>
    </row>
    <row r="64" spans="1:7">
      <c r="A64" s="43" t="s">
        <v>48</v>
      </c>
      <c r="B64" s="44" t="s">
        <v>49</v>
      </c>
      <c r="C64" s="37">
        <v>89.945999999999998</v>
      </c>
      <c r="D64" s="37">
        <v>9.3432899999999997</v>
      </c>
      <c r="E64" s="38">
        <f t="shared" si="4"/>
        <v>10.387665932893068</v>
      </c>
      <c r="F64" s="38">
        <f t="shared" si="3"/>
        <v>-80.602710000000002</v>
      </c>
    </row>
    <row r="65" spans="1:7" s="6" customFormat="1" ht="21" customHeight="1">
      <c r="A65" s="30" t="s">
        <v>50</v>
      </c>
      <c r="B65" s="31" t="s">
        <v>51</v>
      </c>
      <c r="C65" s="32">
        <f>C68+C69+C70</f>
        <v>17</v>
      </c>
      <c r="D65" s="32">
        <f>D68+D69</f>
        <v>1.5</v>
      </c>
      <c r="E65" s="34">
        <f t="shared" si="4"/>
        <v>8.8235294117647065</v>
      </c>
      <c r="F65" s="34">
        <f t="shared" si="3"/>
        <v>-15.5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15</v>
      </c>
      <c r="D69" s="37">
        <v>1.5</v>
      </c>
      <c r="E69" s="34">
        <f t="shared" si="4"/>
        <v>10</v>
      </c>
      <c r="F69" s="34">
        <f t="shared" si="3"/>
        <v>-13.5</v>
      </c>
    </row>
    <row r="70" spans="1:7">
      <c r="A70" s="46" t="s">
        <v>358</v>
      </c>
      <c r="B70" s="47" t="s">
        <v>438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58</v>
      </c>
      <c r="B71" s="31" t="s">
        <v>59</v>
      </c>
      <c r="C71" s="48">
        <f>SUM(C72:C75)</f>
        <v>2412.4286999999999</v>
      </c>
      <c r="D71" s="48">
        <f>SUM(D72:D75)</f>
        <v>50.953000000000003</v>
      </c>
      <c r="E71" s="34">
        <f t="shared" si="4"/>
        <v>2.1121038727486536</v>
      </c>
      <c r="F71" s="34">
        <f t="shared" si="3"/>
        <v>-2361.4757</v>
      </c>
    </row>
    <row r="72" spans="1:7">
      <c r="A72" s="35" t="s">
        <v>60</v>
      </c>
      <c r="B72" s="39" t="s">
        <v>61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62</v>
      </c>
      <c r="B73" s="39" t="s">
        <v>63</v>
      </c>
      <c r="C73" s="49">
        <v>440.0652</v>
      </c>
      <c r="D73" s="37">
        <v>39</v>
      </c>
      <c r="E73" s="38">
        <f t="shared" si="4"/>
        <v>8.8623231284818704</v>
      </c>
      <c r="F73" s="38">
        <f t="shared" si="3"/>
        <v>-401.0652</v>
      </c>
      <c r="G73" s="50"/>
    </row>
    <row r="74" spans="1:7">
      <c r="A74" s="35" t="s">
        <v>64</v>
      </c>
      <c r="B74" s="39" t="s">
        <v>65</v>
      </c>
      <c r="C74" s="49">
        <v>1938.3420000000001</v>
      </c>
      <c r="D74" s="37">
        <v>11.952999999999999</v>
      </c>
      <c r="E74" s="38">
        <f t="shared" si="4"/>
        <v>0.6166610433040195</v>
      </c>
      <c r="F74" s="38">
        <f t="shared" si="3"/>
        <v>-1926.3890000000001</v>
      </c>
    </row>
    <row r="75" spans="1:7">
      <c r="A75" s="35" t="s">
        <v>66</v>
      </c>
      <c r="B75" s="39" t="s">
        <v>67</v>
      </c>
      <c r="C75" s="49">
        <v>30</v>
      </c>
      <c r="D75" s="37">
        <v>0</v>
      </c>
      <c r="E75" s="38">
        <f t="shared" si="4"/>
        <v>0</v>
      </c>
      <c r="F75" s="38">
        <f t="shared" si="3"/>
        <v>-30</v>
      </c>
    </row>
    <row r="76" spans="1:7" s="6" customFormat="1" ht="16.5" customHeight="1">
      <c r="A76" s="30" t="s">
        <v>68</v>
      </c>
      <c r="B76" s="31" t="s">
        <v>69</v>
      </c>
      <c r="C76" s="32">
        <f>SUM(C77:C79)</f>
        <v>393.38209999999998</v>
      </c>
      <c r="D76" s="32">
        <f>SUM(D77:D79)</f>
        <v>3.3790399999999998</v>
      </c>
      <c r="E76" s="34">
        <f t="shared" si="4"/>
        <v>0.8589714681984767</v>
      </c>
      <c r="F76" s="34">
        <f t="shared" si="3"/>
        <v>-390.00306</v>
      </c>
    </row>
    <row r="77" spans="1:7" ht="0.7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74</v>
      </c>
      <c r="B79" s="39" t="s">
        <v>75</v>
      </c>
      <c r="C79" s="37">
        <v>393.38209999999998</v>
      </c>
      <c r="D79" s="37">
        <v>3.3790399999999998</v>
      </c>
      <c r="E79" s="38">
        <f t="shared" si="4"/>
        <v>0.8589714681984767</v>
      </c>
      <c r="F79" s="38">
        <f t="shared" si="3"/>
        <v>-390.00306</v>
      </c>
    </row>
    <row r="80" spans="1:7" s="6" customFormat="1">
      <c r="A80" s="30" t="s">
        <v>86</v>
      </c>
      <c r="B80" s="31" t="s">
        <v>87</v>
      </c>
      <c r="C80" s="32">
        <f>C81</f>
        <v>1028.2</v>
      </c>
      <c r="D80" s="32">
        <f>SUM(D81)</f>
        <v>170</v>
      </c>
      <c r="E80" s="34">
        <f t="shared" si="4"/>
        <v>16.533748297996496</v>
      </c>
      <c r="F80" s="34">
        <f t="shared" si="3"/>
        <v>-858.2</v>
      </c>
    </row>
    <row r="81" spans="1:6" ht="15.75" customHeight="1">
      <c r="A81" s="35" t="s">
        <v>88</v>
      </c>
      <c r="B81" s="39" t="s">
        <v>234</v>
      </c>
      <c r="C81" s="37">
        <v>1028.2</v>
      </c>
      <c r="D81" s="37">
        <v>170</v>
      </c>
      <c r="E81" s="38">
        <f t="shared" si="4"/>
        <v>16.533748297996496</v>
      </c>
      <c r="F81" s="38">
        <f t="shared" si="3"/>
        <v>-858.2</v>
      </c>
    </row>
    <row r="82" spans="1:6" s="6" customFormat="1" ht="0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90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92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95</v>
      </c>
      <c r="B87" s="31" t="s">
        <v>96</v>
      </c>
      <c r="C87" s="32">
        <f>C88+C89+C90+C91+C92</f>
        <v>15</v>
      </c>
      <c r="D87" s="32">
        <f>D88+D89+D90+D91+D92</f>
        <v>0</v>
      </c>
      <c r="E87" s="38">
        <f t="shared" si="4"/>
        <v>0</v>
      </c>
      <c r="F87" s="22">
        <f>F88+F89+F90+F91+F92</f>
        <v>-15</v>
      </c>
    </row>
    <row r="88" spans="1:6" ht="17.25" customHeight="1">
      <c r="A88" s="35" t="s">
        <v>97</v>
      </c>
      <c r="B88" s="39" t="s">
        <v>98</v>
      </c>
      <c r="C88" s="37">
        <v>15</v>
      </c>
      <c r="D88" s="37">
        <v>0</v>
      </c>
      <c r="E88" s="38">
        <f t="shared" si="4"/>
        <v>0</v>
      </c>
      <c r="F88" s="38">
        <f>SUM(D88-C88)</f>
        <v>-15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7" s="6" customFormat="1" ht="15.75" customHeight="1">
      <c r="A97" s="52"/>
      <c r="B97" s="57" t="s">
        <v>119</v>
      </c>
      <c r="C97" s="376">
        <f>C55+C63+C71+C76+C80+C82+C87+C65+C93</f>
        <v>5390.2387999999992</v>
      </c>
      <c r="D97" s="376">
        <f>D55+D63+D71+D76+D80+D82+D87+D65+D93</f>
        <v>374.57723999999996</v>
      </c>
      <c r="E97" s="34">
        <f t="shared" si="4"/>
        <v>6.9491770939721631</v>
      </c>
      <c r="F97" s="34">
        <f t="shared" si="3"/>
        <v>-5015.6615599999996</v>
      </c>
      <c r="G97" s="293"/>
    </row>
    <row r="98" spans="1:7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  <c r="E99" s="64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3" spans="1:7" ht="5.25" customHeight="1"/>
    <row r="142" hidden="1"/>
  </sheetData>
  <customSheetViews>
    <customSheetView guid="{37D0E254-14A1-48DF-98B1-097427A51078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4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5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7"/>
    </customSheetView>
    <customSheetView guid="{1A52382B-3765-4E8C-903F-6B8919B7242E}" scale="70" showPageBreaks="1" printArea="1" hiddenRows="1" view="pageBreakPreview" topLeftCell="A34">
      <selection activeCell="C97" sqref="C97"/>
      <pageMargins left="0.7" right="0.7" top="0.75" bottom="0.75" header="0.3" footer="0.3"/>
      <pageSetup paperSize="9" scale="55" orientation="portrait" r:id="rId8"/>
    </customSheetView>
    <customSheetView guid="{B30CE22D-C12F-4E12-8BB9-3AAE0A6991CC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42"/>
  <sheetViews>
    <sheetView view="pageBreakPreview" topLeftCell="A25" zoomScale="70" zoomScaleNormal="100" zoomScaleSheetLayoutView="70" workbookViewId="0">
      <selection activeCell="B72" sqref="B72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435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1272.8040000000001</v>
      </c>
      <c r="D4" s="5">
        <f>D5+D12+D14+D17+D7</f>
        <v>161.2731</v>
      </c>
      <c r="E4" s="5">
        <f>SUM(D4/C4*100)</f>
        <v>12.670693995304855</v>
      </c>
      <c r="F4" s="5">
        <f>SUM(D4-C4)</f>
        <v>-1111.5309000000002</v>
      </c>
    </row>
    <row r="5" spans="1:6" s="6" customFormat="1">
      <c r="A5" s="68">
        <v>1010000000</v>
      </c>
      <c r="B5" s="67" t="s">
        <v>6</v>
      </c>
      <c r="C5" s="5">
        <f>C6</f>
        <v>132.44399999999999</v>
      </c>
      <c r="D5" s="5">
        <f>D6</f>
        <v>10.549860000000001</v>
      </c>
      <c r="E5" s="5">
        <f t="shared" ref="E5:E52" si="0">SUM(D5/C5*100)</f>
        <v>7.9655250520974912</v>
      </c>
      <c r="F5" s="5">
        <f t="shared" ref="F5:F52" si="1">SUM(D5-C5)</f>
        <v>-121.89413999999999</v>
      </c>
    </row>
    <row r="6" spans="1:6">
      <c r="A6" s="7">
        <v>1010200001</v>
      </c>
      <c r="B6" s="8" t="s">
        <v>229</v>
      </c>
      <c r="C6" s="9">
        <v>132.44399999999999</v>
      </c>
      <c r="D6" s="10">
        <v>10.549860000000001</v>
      </c>
      <c r="E6" s="9">
        <f t="shared" ref="E6:E11" si="2">SUM(D6/C6*100)</f>
        <v>7.9655250520974912</v>
      </c>
      <c r="F6" s="9">
        <f t="shared" si="1"/>
        <v>-121.89413999999999</v>
      </c>
    </row>
    <row r="7" spans="1:6" ht="31.5">
      <c r="A7" s="3">
        <v>1030000000</v>
      </c>
      <c r="B7" s="13" t="s">
        <v>281</v>
      </c>
      <c r="C7" s="5">
        <f>C8+C10+C9</f>
        <v>672.36</v>
      </c>
      <c r="D7" s="342">
        <f>D8+D10+D9+D11</f>
        <v>136.96902</v>
      </c>
      <c r="E7" s="5">
        <f t="shared" si="2"/>
        <v>20.371381402819917</v>
      </c>
      <c r="F7" s="5">
        <f t="shared" si="1"/>
        <v>-535.39098000000001</v>
      </c>
    </row>
    <row r="8" spans="1:6">
      <c r="A8" s="7">
        <v>1030223001</v>
      </c>
      <c r="B8" s="8" t="s">
        <v>283</v>
      </c>
      <c r="C8" s="9">
        <v>250.79</v>
      </c>
      <c r="D8" s="10">
        <v>60.666739999999997</v>
      </c>
      <c r="E8" s="9">
        <f t="shared" si="2"/>
        <v>24.190254794848279</v>
      </c>
      <c r="F8" s="9">
        <f t="shared" si="1"/>
        <v>-190.12325999999999</v>
      </c>
    </row>
    <row r="9" spans="1:6">
      <c r="A9" s="7">
        <v>1030224001</v>
      </c>
      <c r="B9" s="8" t="s">
        <v>289</v>
      </c>
      <c r="C9" s="9">
        <v>2.69</v>
      </c>
      <c r="D9" s="10">
        <v>0.41164000000000001</v>
      </c>
      <c r="E9" s="9">
        <f t="shared" si="2"/>
        <v>15.302602230483272</v>
      </c>
      <c r="F9" s="9">
        <f t="shared" si="1"/>
        <v>-2.2783600000000002</v>
      </c>
    </row>
    <row r="10" spans="1:6">
      <c r="A10" s="7">
        <v>1030225001</v>
      </c>
      <c r="B10" s="8" t="s">
        <v>282</v>
      </c>
      <c r="C10" s="9">
        <v>418.88</v>
      </c>
      <c r="D10" s="10">
        <v>89.107370000000003</v>
      </c>
      <c r="E10" s="9">
        <f t="shared" si="2"/>
        <v>21.272767857142856</v>
      </c>
      <c r="F10" s="9">
        <f t="shared" si="1"/>
        <v>-329.77262999999999</v>
      </c>
    </row>
    <row r="11" spans="1:6">
      <c r="A11" s="7">
        <v>1030226001</v>
      </c>
      <c r="B11" s="8" t="s">
        <v>291</v>
      </c>
      <c r="C11" s="9">
        <v>0</v>
      </c>
      <c r="D11" s="10">
        <v>-13.21673</v>
      </c>
      <c r="E11" s="9" t="e">
        <f t="shared" si="2"/>
        <v>#DIV/0!</v>
      </c>
      <c r="F11" s="9">
        <f t="shared" si="1"/>
        <v>-13.21673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8.1900000000000001E-2</v>
      </c>
      <c r="E12" s="5">
        <f t="shared" si="0"/>
        <v>0.81899999999999995</v>
      </c>
      <c r="F12" s="5">
        <f t="shared" si="1"/>
        <v>-9.9181000000000008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8.1900000000000001E-2</v>
      </c>
      <c r="E13" s="9">
        <f t="shared" si="0"/>
        <v>0.81899999999999995</v>
      </c>
      <c r="F13" s="9">
        <f t="shared" si="1"/>
        <v>-9.9181000000000008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453</v>
      </c>
      <c r="D14" s="5">
        <f>D15+D16</f>
        <v>12.672320000000001</v>
      </c>
      <c r="E14" s="5">
        <f t="shared" si="0"/>
        <v>2.7974216335540842</v>
      </c>
      <c r="F14" s="5">
        <f t="shared" si="1"/>
        <v>-440.32767999999999</v>
      </c>
    </row>
    <row r="15" spans="1:6" s="6" customFormat="1" ht="15.75" customHeight="1">
      <c r="A15" s="7">
        <v>1060100000</v>
      </c>
      <c r="B15" s="11" t="s">
        <v>9</v>
      </c>
      <c r="C15" s="9">
        <v>128</v>
      </c>
      <c r="D15" s="10">
        <v>3.3134700000000001</v>
      </c>
      <c r="E15" s="9">
        <f t="shared" si="0"/>
        <v>2.5886484375000003</v>
      </c>
      <c r="F15" s="9">
        <f>SUM(D15-C15)</f>
        <v>-124.68653</v>
      </c>
    </row>
    <row r="16" spans="1:6" ht="15.75" customHeight="1">
      <c r="A16" s="7">
        <v>1060600000</v>
      </c>
      <c r="B16" s="11" t="s">
        <v>8</v>
      </c>
      <c r="C16" s="9">
        <v>325</v>
      </c>
      <c r="D16" s="10">
        <v>9.3588500000000003</v>
      </c>
      <c r="E16" s="9">
        <f t="shared" si="0"/>
        <v>2.8796461538461537</v>
      </c>
      <c r="F16" s="9">
        <f t="shared" si="1"/>
        <v>-315.64114999999998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</v>
      </c>
      <c r="E17" s="5">
        <f t="shared" si="0"/>
        <v>20</v>
      </c>
      <c r="F17" s="5">
        <f t="shared" si="1"/>
        <v>-4</v>
      </c>
    </row>
    <row r="18" spans="1:6" ht="17.25" customHeight="1">
      <c r="A18" s="7">
        <v>1080400001</v>
      </c>
      <c r="B18" s="8" t="s">
        <v>272</v>
      </c>
      <c r="C18" s="9">
        <v>5</v>
      </c>
      <c r="D18" s="10">
        <v>1</v>
      </c>
      <c r="E18" s="9">
        <f t="shared" si="0"/>
        <v>20</v>
      </c>
      <c r="F18" s="9">
        <f t="shared" si="1"/>
        <v>-4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150</v>
      </c>
      <c r="D25" s="5">
        <f>D26+D29+D31+D34</f>
        <v>45.910649999999997</v>
      </c>
      <c r="E25" s="5">
        <f t="shared" si="0"/>
        <v>30.607099999999999</v>
      </c>
      <c r="F25" s="5">
        <f t="shared" si="1"/>
        <v>-104.08935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50</v>
      </c>
      <c r="D26" s="5">
        <f>D27+D28</f>
        <v>4</v>
      </c>
      <c r="E26" s="5">
        <f t="shared" si="0"/>
        <v>8</v>
      </c>
      <c r="F26" s="5">
        <f t="shared" si="1"/>
        <v>-46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50</v>
      </c>
      <c r="D28" s="10">
        <v>4</v>
      </c>
      <c r="E28" s="9">
        <f t="shared" si="0"/>
        <v>8</v>
      </c>
      <c r="F28" s="9">
        <f t="shared" si="1"/>
        <v>-46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100</v>
      </c>
      <c r="D29" s="5">
        <f>D30</f>
        <v>41.910649999999997</v>
      </c>
      <c r="E29" s="5">
        <f t="shared" si="0"/>
        <v>41.910649999999997</v>
      </c>
      <c r="F29" s="5">
        <f t="shared" si="1"/>
        <v>-58.089350000000003</v>
      </c>
    </row>
    <row r="30" spans="1:6" ht="15.75" customHeight="1">
      <c r="A30" s="7">
        <v>1130206005</v>
      </c>
      <c r="B30" s="8" t="s">
        <v>15</v>
      </c>
      <c r="C30" s="9">
        <v>100</v>
      </c>
      <c r="D30" s="10">
        <v>41.910649999999997</v>
      </c>
      <c r="E30" s="9">
        <f t="shared" si="0"/>
        <v>41.910649999999997</v>
      </c>
      <c r="F30" s="9">
        <f t="shared" si="1"/>
        <v>-58.089350000000003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1422.8040000000001</v>
      </c>
      <c r="D37" s="127">
        <f>D4+D25</f>
        <v>207.18375</v>
      </c>
      <c r="E37" s="5">
        <f t="shared" si="0"/>
        <v>14.561650796596018</v>
      </c>
      <c r="F37" s="5">
        <f t="shared" si="1"/>
        <v>-1215.6202500000002</v>
      </c>
    </row>
    <row r="38" spans="1:7" s="6" customFormat="1">
      <c r="A38" s="3">
        <v>2000000000</v>
      </c>
      <c r="B38" s="4" t="s">
        <v>20</v>
      </c>
      <c r="C38" s="408">
        <f>C39+C41+C42+C43+C50+C51</f>
        <v>4473.7040000000006</v>
      </c>
      <c r="D38" s="408">
        <f>D39+D41+D42+D43+D50+D51</f>
        <v>534.5</v>
      </c>
      <c r="E38" s="5">
        <f t="shared" si="0"/>
        <v>11.947594208289146</v>
      </c>
      <c r="F38" s="5">
        <f t="shared" si="1"/>
        <v>-3939.2040000000006</v>
      </c>
      <c r="G38" s="19"/>
    </row>
    <row r="39" spans="1:7" ht="16.5" customHeight="1">
      <c r="A39" s="16">
        <v>2021000000</v>
      </c>
      <c r="B39" s="17" t="s">
        <v>21</v>
      </c>
      <c r="C39" s="12">
        <v>3029</v>
      </c>
      <c r="D39" s="20">
        <v>504.834</v>
      </c>
      <c r="E39" s="9">
        <v>0</v>
      </c>
      <c r="F39" s="9">
        <f t="shared" si="1"/>
        <v>-2524.1660000000002</v>
      </c>
    </row>
    <row r="40" spans="1:7" ht="14.25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12">
        <v>1262.047</v>
      </c>
      <c r="D42" s="10">
        <v>0</v>
      </c>
      <c r="E42" s="9">
        <f t="shared" si="0"/>
        <v>0</v>
      </c>
      <c r="F42" s="9">
        <f t="shared" si="1"/>
        <v>-1262.047</v>
      </c>
    </row>
    <row r="43" spans="1:7" ht="17.25" customHeight="1">
      <c r="A43" s="16">
        <v>2023000000</v>
      </c>
      <c r="B43" s="17" t="s">
        <v>23</v>
      </c>
      <c r="C43" s="12">
        <v>182.65700000000001</v>
      </c>
      <c r="D43" s="251">
        <v>29.666</v>
      </c>
      <c r="E43" s="9">
        <f t="shared" si="0"/>
        <v>16.241370437486655</v>
      </c>
      <c r="F43" s="9">
        <f t="shared" si="1"/>
        <v>-152.99100000000001</v>
      </c>
    </row>
    <row r="44" spans="1:7" ht="18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7">
        <f>C47</f>
        <v>0</v>
      </c>
      <c r="D46" s="351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hidden="1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72">
        <f>C37+C38</f>
        <v>5896.5080000000007</v>
      </c>
      <c r="D52" s="372">
        <f>D37+D38</f>
        <v>741.68375000000003</v>
      </c>
      <c r="E52" s="5">
        <f t="shared" si="0"/>
        <v>12.578355697982602</v>
      </c>
      <c r="F52" s="5">
        <f t="shared" si="1"/>
        <v>-5154.8242500000006</v>
      </c>
      <c r="G52" s="94"/>
    </row>
    <row r="53" spans="1:7" s="6" customFormat="1">
      <c r="A53" s="3"/>
      <c r="B53" s="21" t="s">
        <v>321</v>
      </c>
      <c r="C53" s="372">
        <f>C52-C99</f>
        <v>-102.1304999999993</v>
      </c>
      <c r="D53" s="372">
        <f>D52-D99</f>
        <v>159.14999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412</v>
      </c>
      <c r="D55" s="73" t="s">
        <v>413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1234.7919999999999</v>
      </c>
      <c r="D57" s="33">
        <f>D58+D59+D60+D61+D62+D64+D63</f>
        <v>120.48928000000001</v>
      </c>
      <c r="E57" s="34">
        <f>SUM(D57/C57*100)</f>
        <v>9.7578604331741712</v>
      </c>
      <c r="F57" s="34">
        <f>SUM(D57-C57)</f>
        <v>-1114.3027199999999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1175.2919999999999</v>
      </c>
      <c r="D59" s="37">
        <v>116.29728</v>
      </c>
      <c r="E59" s="38">
        <f t="shared" ref="E59:E99" si="3">SUM(D59/C59*100)</f>
        <v>9.895181793120349</v>
      </c>
      <c r="F59" s="38">
        <f t="shared" ref="F59:F99" si="4">SUM(D59-C59)</f>
        <v>-1058.9947199999999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7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54.5</v>
      </c>
      <c r="D64" s="37">
        <v>4.1920000000000002</v>
      </c>
      <c r="E64" s="38">
        <f t="shared" si="3"/>
        <v>7.6917431192660546</v>
      </c>
      <c r="F64" s="38">
        <f t="shared" si="4"/>
        <v>-50.308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179.892</v>
      </c>
      <c r="D65" s="32">
        <f>D66</f>
        <v>18.689</v>
      </c>
      <c r="E65" s="34">
        <f t="shared" si="3"/>
        <v>10.389011184488471</v>
      </c>
      <c r="F65" s="34">
        <f t="shared" si="4"/>
        <v>-161.203</v>
      </c>
    </row>
    <row r="66" spans="1:7">
      <c r="A66" s="43" t="s">
        <v>48</v>
      </c>
      <c r="B66" s="44" t="s">
        <v>49</v>
      </c>
      <c r="C66" s="37">
        <v>179.892</v>
      </c>
      <c r="D66" s="37">
        <v>18.689</v>
      </c>
      <c r="E66" s="38">
        <f t="shared" si="3"/>
        <v>10.389011184488471</v>
      </c>
      <c r="F66" s="38">
        <f t="shared" si="4"/>
        <v>-161.203</v>
      </c>
    </row>
    <row r="67" spans="1:7" s="6" customFormat="1" ht="16.5" customHeight="1">
      <c r="A67" s="30" t="s">
        <v>50</v>
      </c>
      <c r="B67" s="31" t="s">
        <v>51</v>
      </c>
      <c r="C67" s="32">
        <f>C70+C71+C72</f>
        <v>17</v>
      </c>
      <c r="D67" s="32">
        <f>SUM(D68:D71)</f>
        <v>2</v>
      </c>
      <c r="E67" s="34">
        <f t="shared" si="3"/>
        <v>11.76470588235294</v>
      </c>
      <c r="F67" s="34">
        <f t="shared" si="4"/>
        <v>-15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14</v>
      </c>
      <c r="D71" s="37">
        <v>2</v>
      </c>
      <c r="E71" s="34">
        <f t="shared" si="3"/>
        <v>14.285714285714285</v>
      </c>
      <c r="F71" s="34">
        <f t="shared" si="4"/>
        <v>-12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58</v>
      </c>
      <c r="B73" s="31" t="s">
        <v>59</v>
      </c>
      <c r="C73" s="48">
        <f>SUM(C74:C77)</f>
        <v>2091.1095</v>
      </c>
      <c r="D73" s="48">
        <f>SUM(D74:D77)</f>
        <v>70.591999999999999</v>
      </c>
      <c r="E73" s="34">
        <f t="shared" si="3"/>
        <v>3.3758155658515254</v>
      </c>
      <c r="F73" s="34">
        <f t="shared" si="4"/>
        <v>-2020.5174999999999</v>
      </c>
    </row>
    <row r="74" spans="1:7" ht="17.25" customHeight="1">
      <c r="A74" s="35" t="s">
        <v>60</v>
      </c>
      <c r="B74" s="39" t="s">
        <v>61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62</v>
      </c>
      <c r="B75" s="39" t="s">
        <v>63</v>
      </c>
      <c r="C75" s="49">
        <v>150</v>
      </c>
      <c r="D75" s="37">
        <v>58.832000000000001</v>
      </c>
      <c r="E75" s="38">
        <f t="shared" si="3"/>
        <v>39.221333333333334</v>
      </c>
      <c r="F75" s="38">
        <f t="shared" si="4"/>
        <v>-91.168000000000006</v>
      </c>
      <c r="G75" s="50"/>
    </row>
    <row r="76" spans="1:7">
      <c r="A76" s="35" t="s">
        <v>64</v>
      </c>
      <c r="B76" s="39" t="s">
        <v>65</v>
      </c>
      <c r="C76" s="49">
        <v>1934.4069999999999</v>
      </c>
      <c r="D76" s="37">
        <v>11.76</v>
      </c>
      <c r="E76" s="38">
        <f t="shared" si="3"/>
        <v>0.60793824670816432</v>
      </c>
      <c r="F76" s="38">
        <f t="shared" si="4"/>
        <v>-1922.6469999999999</v>
      </c>
    </row>
    <row r="77" spans="1:7">
      <c r="A77" s="35" t="s">
        <v>66</v>
      </c>
      <c r="B77" s="39" t="s">
        <v>67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68</v>
      </c>
      <c r="B78" s="31" t="s">
        <v>69</v>
      </c>
      <c r="C78" s="32">
        <f>SUM(C79:C81)</f>
        <v>434.66699999999997</v>
      </c>
      <c r="D78" s="32">
        <f>SUM(D79:D81)</f>
        <v>20.372610000000002</v>
      </c>
      <c r="E78" s="34">
        <f t="shared" si="3"/>
        <v>4.686946559090063</v>
      </c>
      <c r="F78" s="34">
        <f t="shared" si="4"/>
        <v>-414.29438999999996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434.66699999999997</v>
      </c>
      <c r="D81" s="37">
        <v>20.372610000000002</v>
      </c>
      <c r="E81" s="38">
        <f t="shared" si="3"/>
        <v>4.686946559090063</v>
      </c>
      <c r="F81" s="38">
        <f t="shared" si="4"/>
        <v>-414.29438999999996</v>
      </c>
    </row>
    <row r="82" spans="1:6" s="6" customFormat="1">
      <c r="A82" s="30" t="s">
        <v>86</v>
      </c>
      <c r="B82" s="31" t="s">
        <v>87</v>
      </c>
      <c r="C82" s="32">
        <f>C83</f>
        <v>2039.1780000000001</v>
      </c>
      <c r="D82" s="32">
        <f>SUM(D83)</f>
        <v>350.39087000000001</v>
      </c>
      <c r="E82" s="34">
        <f t="shared" si="3"/>
        <v>17.182946755996777</v>
      </c>
      <c r="F82" s="34">
        <f t="shared" si="4"/>
        <v>-1688.7871300000002</v>
      </c>
    </row>
    <row r="83" spans="1:6" ht="15" customHeight="1">
      <c r="A83" s="35" t="s">
        <v>88</v>
      </c>
      <c r="B83" s="39" t="s">
        <v>234</v>
      </c>
      <c r="C83" s="37">
        <v>2039.1780000000001</v>
      </c>
      <c r="D83" s="37">
        <v>350.39087000000001</v>
      </c>
      <c r="E83" s="38">
        <f t="shared" si="3"/>
        <v>17.182946755996777</v>
      </c>
      <c r="F83" s="38">
        <f t="shared" si="4"/>
        <v>-1688.7871300000002</v>
      </c>
    </row>
    <row r="84" spans="1:6" s="6" customFormat="1" ht="15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</f>
        <v>2</v>
      </c>
      <c r="D89" s="32">
        <f>D90+D91+D92+D93+D94</f>
        <v>0</v>
      </c>
      <c r="E89" s="38"/>
      <c r="F89" s="22">
        <f>F90+F91+F92+F93+F94</f>
        <v>-2</v>
      </c>
    </row>
    <row r="90" spans="1:6" ht="16.5" customHeight="1">
      <c r="A90" s="35" t="s">
        <v>97</v>
      </c>
      <c r="B90" s="39" t="s">
        <v>98</v>
      </c>
      <c r="C90" s="37">
        <v>2</v>
      </c>
      <c r="D90" s="37">
        <v>0</v>
      </c>
      <c r="E90" s="38"/>
      <c r="F90" s="38">
        <f>SUM(D90-C90)</f>
        <v>-2</v>
      </c>
    </row>
    <row r="91" spans="1:6" ht="1.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115</v>
      </c>
      <c r="C95" s="48">
        <f>C96+C97+C98</f>
        <v>0</v>
      </c>
      <c r="D95" s="241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118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119</v>
      </c>
      <c r="C99" s="376">
        <f>C57+C65+C67+C73+C78+C82+C89+C84</f>
        <v>5998.6385</v>
      </c>
      <c r="D99" s="376">
        <f>D57+D65+D67+D73+D78+D82+D89+D84</f>
        <v>582.53376000000003</v>
      </c>
      <c r="E99" s="34">
        <f t="shared" si="3"/>
        <v>9.7110996103532496</v>
      </c>
      <c r="F99" s="34">
        <f t="shared" si="4"/>
        <v>-5416.1047399999998</v>
      </c>
    </row>
    <row r="100" spans="1:6">
      <c r="D100" s="245"/>
    </row>
    <row r="101" spans="1:6" s="65" customFormat="1" ht="18" customHeight="1">
      <c r="A101" s="63" t="s">
        <v>120</v>
      </c>
      <c r="B101" s="63"/>
      <c r="C101" s="131"/>
      <c r="D101" s="64"/>
      <c r="E101" s="64"/>
    </row>
    <row r="102" spans="1:6" s="65" customFormat="1" ht="12.75">
      <c r="A102" s="66" t="s">
        <v>121</v>
      </c>
      <c r="B102" s="66"/>
      <c r="C102" s="65" t="s">
        <v>122</v>
      </c>
    </row>
    <row r="103" spans="1:6">
      <c r="C103" s="120"/>
    </row>
    <row r="142" hidden="1"/>
  </sheetData>
  <customSheetViews>
    <customSheetView guid="{37D0E254-14A1-48DF-98B1-097427A51078}" scale="70" showPageBreaks="1" hiddenRows="1" view="pageBreakPreview" topLeftCell="A25">
      <selection activeCell="B72" sqref="B7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4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hiddenRows="1" view="pageBreakPreview" topLeftCell="A11">
      <selection activeCell="A72" sqref="A72:XFD7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hiddenRows="1" topLeftCell="A32">
      <selection activeCell="J56" sqref="J56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hiddenRows="1" view="pageBreakPreview" topLeftCell="A25">
      <selection activeCell="B72" sqref="B72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6" zoomScale="70" zoomScaleNormal="100" zoomScaleSheetLayoutView="70" workbookViewId="0">
      <selection activeCell="D15" sqref="D15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40" t="s">
        <v>436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2458.3469999999998</v>
      </c>
      <c r="D4" s="5">
        <f>D5+D12+D14+D17+D7</f>
        <v>238.71994999999998</v>
      </c>
      <c r="E4" s="5">
        <f>SUM(D4/C4*100)</f>
        <v>9.7105880496122001</v>
      </c>
      <c r="F4" s="5">
        <f>SUM(D4-C4)</f>
        <v>-2219.6270499999996</v>
      </c>
    </row>
    <row r="5" spans="1:6" s="6" customFormat="1">
      <c r="A5" s="68">
        <v>1010000000</v>
      </c>
      <c r="B5" s="67" t="s">
        <v>6</v>
      </c>
      <c r="C5" s="5">
        <f>C6</f>
        <v>137.33699999999999</v>
      </c>
      <c r="D5" s="5">
        <f>D6</f>
        <v>11.581519999999999</v>
      </c>
      <c r="E5" s="5">
        <f t="shared" ref="E5:E52" si="0">SUM(D5/C5*100)</f>
        <v>8.4329204802784403</v>
      </c>
      <c r="F5" s="5">
        <f t="shared" ref="F5:F52" si="1">SUM(D5-C5)</f>
        <v>-125.75547999999999</v>
      </c>
    </row>
    <row r="6" spans="1:6">
      <c r="A6" s="7">
        <v>1010200001</v>
      </c>
      <c r="B6" s="8" t="s">
        <v>229</v>
      </c>
      <c r="C6" s="9">
        <v>137.33699999999999</v>
      </c>
      <c r="D6" s="10">
        <v>11.581519999999999</v>
      </c>
      <c r="E6" s="9">
        <f t="shared" ref="E6:E11" si="2">SUM(D6/C6*100)</f>
        <v>8.4329204802784403</v>
      </c>
      <c r="F6" s="9">
        <f t="shared" si="1"/>
        <v>-125.75547999999999</v>
      </c>
    </row>
    <row r="7" spans="1:6" ht="31.5">
      <c r="A7" s="3">
        <v>1030000000</v>
      </c>
      <c r="B7" s="13" t="s">
        <v>281</v>
      </c>
      <c r="C7" s="5">
        <f>C8+C10+C9</f>
        <v>737.00999999999988</v>
      </c>
      <c r="D7" s="342">
        <f>D8+D10+D9+D11</f>
        <v>150.13912999999999</v>
      </c>
      <c r="E7" s="5">
        <f t="shared" si="2"/>
        <v>20.371383020583171</v>
      </c>
      <c r="F7" s="5">
        <f t="shared" si="1"/>
        <v>-586.87086999999985</v>
      </c>
    </row>
    <row r="8" spans="1:6">
      <c r="A8" s="7">
        <v>1030223001</v>
      </c>
      <c r="B8" s="8" t="s">
        <v>283</v>
      </c>
      <c r="C8" s="9">
        <v>274.90499999999997</v>
      </c>
      <c r="D8" s="10">
        <v>66.50009</v>
      </c>
      <c r="E8" s="9">
        <f t="shared" si="2"/>
        <v>24.190207526236339</v>
      </c>
      <c r="F8" s="9">
        <f t="shared" si="1"/>
        <v>-208.40490999999997</v>
      </c>
    </row>
    <row r="9" spans="1:6">
      <c r="A9" s="7">
        <v>1030224001</v>
      </c>
      <c r="B9" s="8" t="s">
        <v>289</v>
      </c>
      <c r="C9" s="9">
        <v>2.948</v>
      </c>
      <c r="D9" s="10">
        <v>0.45122000000000001</v>
      </c>
      <c r="E9" s="9">
        <f t="shared" si="2"/>
        <v>15.305970149253731</v>
      </c>
      <c r="F9" s="9">
        <f t="shared" si="1"/>
        <v>-2.4967799999999998</v>
      </c>
    </row>
    <row r="10" spans="1:6">
      <c r="A10" s="7">
        <v>1030225001</v>
      </c>
      <c r="B10" s="8" t="s">
        <v>282</v>
      </c>
      <c r="C10" s="9">
        <v>459.15699999999998</v>
      </c>
      <c r="D10" s="10">
        <v>97.675389999999993</v>
      </c>
      <c r="E10" s="9">
        <f t="shared" si="2"/>
        <v>21.272765089065395</v>
      </c>
      <c r="F10" s="9">
        <f>SUM(D10-C10)</f>
        <v>-361.48160999999999</v>
      </c>
    </row>
    <row r="11" spans="1:6">
      <c r="A11" s="7">
        <v>1030226001</v>
      </c>
      <c r="B11" s="8" t="s">
        <v>291</v>
      </c>
      <c r="C11" s="9">
        <v>0</v>
      </c>
      <c r="D11" s="10">
        <v>-14.48757</v>
      </c>
      <c r="E11" s="9" t="e">
        <f t="shared" si="2"/>
        <v>#DIV/0!</v>
      </c>
      <c r="F11" s="9">
        <f>SUM(D11-C11)</f>
        <v>-14.48757</v>
      </c>
    </row>
    <row r="12" spans="1:6" s="6" customFormat="1">
      <c r="A12" s="68">
        <v>1050000000</v>
      </c>
      <c r="B12" s="67" t="s">
        <v>7</v>
      </c>
      <c r="C12" s="5">
        <f>SUM(C13:C13)</f>
        <v>21</v>
      </c>
      <c r="D12" s="408">
        <f>SUM(D13:D13)</f>
        <v>3.1707000000000001</v>
      </c>
      <c r="E12" s="5">
        <f t="shared" si="0"/>
        <v>15.098571428571429</v>
      </c>
      <c r="F12" s="5">
        <f t="shared" si="1"/>
        <v>-17.8293</v>
      </c>
    </row>
    <row r="13" spans="1:6" ht="15.75" customHeight="1">
      <c r="A13" s="7">
        <v>1050300000</v>
      </c>
      <c r="B13" s="11" t="s">
        <v>230</v>
      </c>
      <c r="C13" s="12">
        <v>21</v>
      </c>
      <c r="D13" s="10">
        <v>3.1707000000000001</v>
      </c>
      <c r="E13" s="9">
        <f t="shared" si="0"/>
        <v>15.098571428571429</v>
      </c>
      <c r="F13" s="9">
        <f t="shared" si="1"/>
        <v>-17.8293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1551</v>
      </c>
      <c r="D14" s="342">
        <f>D15+D16</f>
        <v>73.208600000000004</v>
      </c>
      <c r="E14" s="5">
        <f t="shared" si="0"/>
        <v>4.7200902643455844</v>
      </c>
      <c r="F14" s="5">
        <f t="shared" si="1"/>
        <v>-1477.7914000000001</v>
      </c>
    </row>
    <row r="15" spans="1:6" s="6" customFormat="1" ht="15.75" customHeight="1">
      <c r="A15" s="7">
        <v>1060100000</v>
      </c>
      <c r="B15" s="11" t="s">
        <v>9</v>
      </c>
      <c r="C15" s="9">
        <v>201</v>
      </c>
      <c r="D15" s="10">
        <v>12.64777</v>
      </c>
      <c r="E15" s="9">
        <f t="shared" si="0"/>
        <v>6.2924228855721394</v>
      </c>
      <c r="F15" s="9">
        <f>SUM(D15-C15)</f>
        <v>-188.35222999999999</v>
      </c>
    </row>
    <row r="16" spans="1:6" ht="15.75" customHeight="1">
      <c r="A16" s="7">
        <v>1060600000</v>
      </c>
      <c r="B16" s="11" t="s">
        <v>8</v>
      </c>
      <c r="C16" s="9">
        <v>1350</v>
      </c>
      <c r="D16" s="10">
        <v>60.560830000000003</v>
      </c>
      <c r="E16" s="9">
        <f t="shared" si="0"/>
        <v>4.4859874074074071</v>
      </c>
      <c r="F16" s="9">
        <f t="shared" si="1"/>
        <v>-1289.4391700000001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0.62</v>
      </c>
      <c r="E17" s="5">
        <f t="shared" si="0"/>
        <v>5.166666666666667</v>
      </c>
      <c r="F17" s="5">
        <f t="shared" si="1"/>
        <v>-11.38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0.62</v>
      </c>
      <c r="E18" s="9">
        <f t="shared" si="0"/>
        <v>5.166666666666667</v>
      </c>
      <c r="F18" s="9">
        <f t="shared" si="1"/>
        <v>-11.38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440.58499999999998</v>
      </c>
      <c r="D25" s="5">
        <f>D30+D37+D26+D35</f>
        <v>39.272590000000001</v>
      </c>
      <c r="E25" s="5">
        <f t="shared" si="0"/>
        <v>8.9137374172974564</v>
      </c>
      <c r="F25" s="5">
        <f t="shared" si="1"/>
        <v>-401.31241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10</v>
      </c>
      <c r="D26" s="5">
        <f>D27+D28</f>
        <v>0.39300000000000002</v>
      </c>
      <c r="E26" s="5">
        <f t="shared" si="0"/>
        <v>3.93</v>
      </c>
      <c r="F26" s="5">
        <f t="shared" si="1"/>
        <v>-9.6069999999999993</v>
      </c>
    </row>
    <row r="27" spans="1:6" ht="15.75" customHeight="1">
      <c r="A27" s="16">
        <v>1110502510</v>
      </c>
      <c r="B27" s="17" t="s">
        <v>226</v>
      </c>
      <c r="C27" s="12">
        <v>10</v>
      </c>
      <c r="D27" s="10">
        <v>0.39300000000000002</v>
      </c>
      <c r="E27" s="9">
        <f t="shared" si="0"/>
        <v>3.93</v>
      </c>
      <c r="F27" s="9">
        <f t="shared" si="1"/>
        <v>-9.6069999999999993</v>
      </c>
    </row>
    <row r="28" spans="1:6" ht="15.75" customHeight="1">
      <c r="A28" s="7">
        <v>1110503510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360</v>
      </c>
      <c r="C29" s="12">
        <v>0</v>
      </c>
      <c r="D29" s="24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35.25" customHeight="1">
      <c r="A32" s="70">
        <v>1140000000</v>
      </c>
      <c r="B32" s="71" t="s">
        <v>132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223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268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2898.9319999999998</v>
      </c>
      <c r="D40" s="127">
        <f>D4+D25</f>
        <v>277.99253999999996</v>
      </c>
      <c r="E40" s="5">
        <f t="shared" si="0"/>
        <v>9.5894812296390537</v>
      </c>
      <c r="F40" s="5">
        <f t="shared" si="1"/>
        <v>-2620.9394599999996</v>
      </c>
    </row>
    <row r="41" spans="1:7" s="6" customFormat="1">
      <c r="A41" s="3">
        <v>2000000000</v>
      </c>
      <c r="B41" s="4" t="s">
        <v>20</v>
      </c>
      <c r="C41" s="342">
        <f>C42+C44+C45+C47+C48+C49+C43+C51</f>
        <v>5705.4710699999996</v>
      </c>
      <c r="D41" s="342">
        <f>D42+D44+D45+D47+D48+D49+D43+D51</f>
        <v>338.46600000000001</v>
      </c>
      <c r="E41" s="5">
        <f t="shared" si="0"/>
        <v>5.9323059541865319</v>
      </c>
      <c r="F41" s="5">
        <f t="shared" si="1"/>
        <v>-5367.0050699999993</v>
      </c>
      <c r="G41" s="19"/>
    </row>
    <row r="42" spans="1:7" ht="17.25" customHeight="1">
      <c r="A42" s="16">
        <v>2021000000</v>
      </c>
      <c r="B42" s="17" t="s">
        <v>21</v>
      </c>
      <c r="C42" s="12">
        <v>1852.8</v>
      </c>
      <c r="D42" s="441">
        <v>308.8</v>
      </c>
      <c r="E42" s="9">
        <f t="shared" si="0"/>
        <v>16.666666666666668</v>
      </c>
      <c r="F42" s="9">
        <f t="shared" si="1"/>
        <v>-1544</v>
      </c>
    </row>
    <row r="43" spans="1:7" ht="17.25" customHeight="1">
      <c r="A43" s="16">
        <v>2021500200</v>
      </c>
      <c r="B43" s="17" t="s">
        <v>232</v>
      </c>
      <c r="C43" s="442">
        <v>494</v>
      </c>
      <c r="D43" s="20">
        <v>0</v>
      </c>
      <c r="E43" s="9">
        <f t="shared" si="0"/>
        <v>0</v>
      </c>
      <c r="F43" s="9">
        <f t="shared" si="1"/>
        <v>-494</v>
      </c>
    </row>
    <row r="44" spans="1:7">
      <c r="A44" s="16">
        <v>2022000000</v>
      </c>
      <c r="B44" s="17" t="s">
        <v>22</v>
      </c>
      <c r="C44" s="12">
        <v>3176.6280700000002</v>
      </c>
      <c r="D44" s="10">
        <v>0</v>
      </c>
      <c r="E44" s="9">
        <f t="shared" si="0"/>
        <v>0</v>
      </c>
      <c r="F44" s="9">
        <f t="shared" si="1"/>
        <v>-3176.6280700000002</v>
      </c>
    </row>
    <row r="45" spans="1:7" ht="15.75" customHeight="1">
      <c r="A45" s="16">
        <v>2023000000</v>
      </c>
      <c r="B45" s="17" t="s">
        <v>23</v>
      </c>
      <c r="C45" s="12">
        <v>182.04300000000001</v>
      </c>
      <c r="D45" s="251">
        <v>29.666</v>
      </c>
      <c r="E45" s="9">
        <f t="shared" si="0"/>
        <v>16.296149810758997</v>
      </c>
      <c r="F45" s="9">
        <f t="shared" si="1"/>
        <v>-152.37700000000001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6">
        <v>0</v>
      </c>
      <c r="D51" s="327">
        <v>0</v>
      </c>
      <c r="E51" s="9" t="e">
        <f t="shared" si="0"/>
        <v>#DIV/0!</v>
      </c>
      <c r="F51" s="9">
        <f t="shared" si="1"/>
        <v>0</v>
      </c>
    </row>
    <row r="52" spans="1:7" s="6" customFormat="1">
      <c r="A52" s="3"/>
      <c r="B52" s="4" t="s">
        <v>28</v>
      </c>
      <c r="C52" s="372">
        <f>SUM(C40,C41,C50)</f>
        <v>8604.4030700000003</v>
      </c>
      <c r="D52" s="373">
        <f>D40+D41</f>
        <v>616.45853999999997</v>
      </c>
      <c r="E52" s="5">
        <f t="shared" si="0"/>
        <v>7.1644544657529616</v>
      </c>
      <c r="F52" s="5">
        <f t="shared" si="1"/>
        <v>-7987.9445300000007</v>
      </c>
      <c r="G52" s="94"/>
    </row>
    <row r="53" spans="1:7" s="6" customFormat="1">
      <c r="A53" s="3"/>
      <c r="B53" s="21" t="s">
        <v>321</v>
      </c>
      <c r="C53" s="374">
        <f>C52-C99</f>
        <v>-891.48478000000068</v>
      </c>
      <c r="D53" s="374">
        <f>D52-D99</f>
        <v>47.7272099999999</v>
      </c>
      <c r="E53" s="22"/>
      <c r="F53" s="22"/>
    </row>
    <row r="54" spans="1:7" ht="32.25" customHeight="1">
      <c r="A54" s="23"/>
      <c r="B54" s="24"/>
      <c r="C54" s="247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412</v>
      </c>
      <c r="D55" s="73" t="s">
        <v>418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1209.8699999999999</v>
      </c>
      <c r="D57" s="379">
        <f>D58+D59+D60+D61+D62+D64+D63</f>
        <v>145.06026</v>
      </c>
      <c r="E57" s="34">
        <f>SUM(D57/C57*100)</f>
        <v>11.989739393488557</v>
      </c>
      <c r="F57" s="34">
        <f>SUM(D57-C57)</f>
        <v>-1064.8097399999999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1197.0999999999999</v>
      </c>
      <c r="D59" s="37">
        <v>137.29076000000001</v>
      </c>
      <c r="E59" s="38">
        <f t="shared" ref="E59:E99" si="3">SUM(D59/C59*100)</f>
        <v>11.46861248016039</v>
      </c>
      <c r="F59" s="38">
        <f t="shared" ref="F59:F99" si="4">SUM(D59-C59)</f>
        <v>-1059.8092399999998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7.77</v>
      </c>
      <c r="D64" s="37">
        <v>7.7694999999999999</v>
      </c>
      <c r="E64" s="38">
        <f t="shared" si="3"/>
        <v>99.993564993565002</v>
      </c>
      <c r="F64" s="38">
        <f t="shared" si="4"/>
        <v>-4.9999999999972289E-4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424">
        <f>D66</f>
        <v>19.184550000000002</v>
      </c>
      <c r="E65" s="34">
        <f t="shared" si="3"/>
        <v>10.664482022546864</v>
      </c>
      <c r="F65" s="34">
        <f t="shared" si="4"/>
        <v>-160.70744999999999</v>
      </c>
    </row>
    <row r="66" spans="1:7">
      <c r="A66" s="43" t="s">
        <v>48</v>
      </c>
      <c r="B66" s="44" t="s">
        <v>49</v>
      </c>
      <c r="C66" s="37">
        <v>179.892</v>
      </c>
      <c r="D66" s="37">
        <v>19.184550000000002</v>
      </c>
      <c r="E66" s="38">
        <f t="shared" si="3"/>
        <v>10.664482022546864</v>
      </c>
      <c r="F66" s="38">
        <f t="shared" si="4"/>
        <v>-160.70744999999999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6.1749999999999998</v>
      </c>
      <c r="D67" s="32">
        <f>D71+D70+D72</f>
        <v>0.17499999999999999</v>
      </c>
      <c r="E67" s="34">
        <f t="shared" si="3"/>
        <v>2.834008097165992</v>
      </c>
      <c r="F67" s="34">
        <f t="shared" si="4"/>
        <v>-6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3.1749999999999998</v>
      </c>
      <c r="D71" s="37">
        <v>0.17499999999999999</v>
      </c>
      <c r="E71" s="34">
        <f t="shared" si="3"/>
        <v>5.5118110236220472</v>
      </c>
      <c r="F71" s="34">
        <f t="shared" si="4"/>
        <v>-3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3598.0830100000003</v>
      </c>
      <c r="D73" s="48">
        <f>SUM(D74:D77)</f>
        <v>18.71134</v>
      </c>
      <c r="E73" s="34">
        <f t="shared" si="3"/>
        <v>0.52003636236285722</v>
      </c>
      <c r="F73" s="34">
        <f t="shared" si="4"/>
        <v>-3579.3716700000004</v>
      </c>
    </row>
    <row r="74" spans="1:7" ht="16.5" customHeight="1">
      <c r="A74" s="35" t="s">
        <v>60</v>
      </c>
      <c r="B74" s="39" t="s">
        <v>61</v>
      </c>
      <c r="C74" s="49">
        <v>5.3620000000000001</v>
      </c>
      <c r="D74" s="37">
        <v>0</v>
      </c>
      <c r="E74" s="38">
        <f t="shared" si="3"/>
        <v>0</v>
      </c>
      <c r="F74" s="38">
        <f t="shared" si="4"/>
        <v>-5.3620000000000001</v>
      </c>
    </row>
    <row r="75" spans="1:7" s="6" customFormat="1" ht="17.25" customHeight="1">
      <c r="A75" s="35" t="s">
        <v>62</v>
      </c>
      <c r="B75" s="39" t="s">
        <v>63</v>
      </c>
      <c r="C75" s="49">
        <v>220</v>
      </c>
      <c r="D75" s="37">
        <v>0</v>
      </c>
      <c r="E75" s="38">
        <f t="shared" si="3"/>
        <v>0</v>
      </c>
      <c r="F75" s="38">
        <f t="shared" si="4"/>
        <v>-220</v>
      </c>
      <c r="G75" s="50"/>
    </row>
    <row r="76" spans="1:7" ht="18" customHeight="1">
      <c r="A76" s="35" t="s">
        <v>64</v>
      </c>
      <c r="B76" s="39" t="s">
        <v>65</v>
      </c>
      <c r="C76" s="49">
        <v>3252.7210100000002</v>
      </c>
      <c r="D76" s="37">
        <v>18.71134</v>
      </c>
      <c r="E76" s="38">
        <f t="shared" si="3"/>
        <v>0.57525191808565213</v>
      </c>
      <c r="F76" s="38">
        <f t="shared" si="4"/>
        <v>-3234.0096700000004</v>
      </c>
    </row>
    <row r="77" spans="1:7">
      <c r="A77" s="35" t="s">
        <v>66</v>
      </c>
      <c r="B77" s="39" t="s">
        <v>67</v>
      </c>
      <c r="C77" s="49">
        <v>120</v>
      </c>
      <c r="D77" s="37">
        <v>0</v>
      </c>
      <c r="E77" s="38">
        <f t="shared" si="3"/>
        <v>0</v>
      </c>
      <c r="F77" s="38">
        <f t="shared" si="4"/>
        <v>-120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512.78099999999995</v>
      </c>
      <c r="D78" s="32">
        <f>SUM(D79:D81)</f>
        <v>37.380409999999998</v>
      </c>
      <c r="E78" s="34">
        <f t="shared" si="3"/>
        <v>7.2897416245921747</v>
      </c>
      <c r="F78" s="34">
        <f t="shared" si="4"/>
        <v>-475.40058999999997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512.78099999999995</v>
      </c>
      <c r="D81" s="37">
        <v>37.380409999999998</v>
      </c>
      <c r="E81" s="38">
        <f>SUM(D81/C81*100)</f>
        <v>7.2897416245921747</v>
      </c>
      <c r="F81" s="38">
        <f t="shared" si="4"/>
        <v>-475.40058999999997</v>
      </c>
    </row>
    <row r="82" spans="1:6" s="6" customFormat="1">
      <c r="A82" s="30" t="s">
        <v>86</v>
      </c>
      <c r="B82" s="31" t="s">
        <v>87</v>
      </c>
      <c r="C82" s="32">
        <f>C83</f>
        <v>3937.1748400000001</v>
      </c>
      <c r="D82" s="32">
        <f>D83</f>
        <v>342.00076999999999</v>
      </c>
      <c r="E82" s="34">
        <f t="shared" si="3"/>
        <v>8.6864511711651584</v>
      </c>
      <c r="F82" s="34">
        <f t="shared" si="4"/>
        <v>-3595.17407</v>
      </c>
    </row>
    <row r="83" spans="1:6" ht="18.75" customHeight="1">
      <c r="A83" s="35" t="s">
        <v>88</v>
      </c>
      <c r="B83" s="39" t="s">
        <v>234</v>
      </c>
      <c r="C83" s="37">
        <v>3937.1748400000001</v>
      </c>
      <c r="D83" s="37">
        <v>342.00076999999999</v>
      </c>
      <c r="E83" s="38">
        <f t="shared" si="3"/>
        <v>8.6864511711651584</v>
      </c>
      <c r="F83" s="38">
        <f t="shared" si="4"/>
        <v>-3595.17407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51.911999999999999</v>
      </c>
      <c r="D89" s="32">
        <f>D90+D91+D92+D93+D94</f>
        <v>6.2190000000000003</v>
      </c>
      <c r="E89" s="38">
        <f t="shared" si="3"/>
        <v>11.97988904299584</v>
      </c>
      <c r="F89" s="22">
        <f>F90+F91+F92+F93+F94</f>
        <v>-45.692999999999998</v>
      </c>
    </row>
    <row r="90" spans="1:6" ht="17.25" customHeight="1">
      <c r="A90" s="35" t="s">
        <v>97</v>
      </c>
      <c r="B90" s="39" t="s">
        <v>98</v>
      </c>
      <c r="C90" s="37">
        <v>51.911999999999999</v>
      </c>
      <c r="D90" s="37">
        <v>6.2190000000000003</v>
      </c>
      <c r="E90" s="38">
        <f t="shared" si="3"/>
        <v>11.97988904299584</v>
      </c>
      <c r="F90" s="38">
        <f>SUM(D90-C90)</f>
        <v>-45.692999999999998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4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0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76">
        <f>C57+C65+C67+C73+C78+C82+C84+C89+C95</f>
        <v>9495.887850000001</v>
      </c>
      <c r="D99" s="376">
        <f>D57+D65+D67+D73+D78+D82+D84+D89+D95</f>
        <v>568.73133000000007</v>
      </c>
      <c r="E99" s="34">
        <f t="shared" si="3"/>
        <v>5.9892380679285298</v>
      </c>
      <c r="F99" s="34">
        <f t="shared" si="4"/>
        <v>-8927.1565200000005</v>
      </c>
      <c r="G99" s="293"/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  <row r="143" hidden="1"/>
  </sheetData>
  <customSheetViews>
    <customSheetView guid="{37D0E254-14A1-48DF-98B1-097427A51078}" scale="70" showPageBreaks="1" printArea="1" hiddenRows="1" view="pageBreakPreview" topLeftCell="A6">
      <selection activeCell="D15" sqref="D15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printArea="1" hiddenRows="1" view="pageBreakPreview" topLeftCell="A31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  <customSheetView guid="{1A52382B-3765-4E8C-903F-6B8919B7242E}" printArea="1" hiddenRows="1" topLeftCell="A36">
      <selection activeCell="D51" sqref="D51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printArea="1" hiddenRows="1" view="pageBreakPreview" topLeftCell="A6">
      <selection activeCell="D15" sqref="D15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tabSelected="1" view="pageBreakPreview" topLeftCell="A26" zoomScale="70" zoomScaleNormal="100" zoomScaleSheetLayoutView="70" workbookViewId="0">
      <selection activeCell="C63" sqref="C63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40" t="s">
        <v>416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1998.069</v>
      </c>
      <c r="D4" s="5">
        <f>D5+D12+D14+D17+D7</f>
        <v>153.40744999999998</v>
      </c>
      <c r="E4" s="5">
        <f>SUM(D4/C4*100)</f>
        <v>7.6777854018054423</v>
      </c>
      <c r="F4" s="5">
        <f>SUM(D4-C4)</f>
        <v>-1844.66155</v>
      </c>
    </row>
    <row r="5" spans="1:6" s="6" customFormat="1">
      <c r="A5" s="3">
        <v>1010000000</v>
      </c>
      <c r="B5" s="4" t="s">
        <v>6</v>
      </c>
      <c r="C5" s="5">
        <f>C6</f>
        <v>109.68899999999999</v>
      </c>
      <c r="D5" s="5">
        <f>D6</f>
        <v>13.491540000000001</v>
      </c>
      <c r="E5" s="5">
        <f t="shared" ref="E5:E48" si="0">SUM(D5/C5*100)</f>
        <v>12.299811284632007</v>
      </c>
      <c r="F5" s="5">
        <f t="shared" ref="F5:F48" si="1">SUM(D5-C5)</f>
        <v>-96.197459999999992</v>
      </c>
    </row>
    <row r="6" spans="1:6">
      <c r="A6" s="7">
        <v>1010200001</v>
      </c>
      <c r="B6" s="8" t="s">
        <v>229</v>
      </c>
      <c r="C6" s="9">
        <v>109.68899999999999</v>
      </c>
      <c r="D6" s="10">
        <v>13.491540000000001</v>
      </c>
      <c r="E6" s="9">
        <f t="shared" ref="E6:E11" si="2">SUM(D6/C6*100)</f>
        <v>12.299811284632007</v>
      </c>
      <c r="F6" s="9">
        <f t="shared" si="1"/>
        <v>-96.197459999999992</v>
      </c>
    </row>
    <row r="7" spans="1:6" ht="31.5">
      <c r="A7" s="3">
        <v>1030000000</v>
      </c>
      <c r="B7" s="13" t="s">
        <v>281</v>
      </c>
      <c r="C7" s="5">
        <f>C8+C10+C9</f>
        <v>422.38</v>
      </c>
      <c r="D7" s="5">
        <f>D8+D10+D9+D11</f>
        <v>86.044639999999987</v>
      </c>
      <c r="E7" s="5">
        <f t="shared" si="2"/>
        <v>20.371381220701736</v>
      </c>
      <c r="F7" s="5">
        <f t="shared" si="1"/>
        <v>-336.33536000000004</v>
      </c>
    </row>
    <row r="8" spans="1:6">
      <c r="A8" s="7">
        <v>1030223001</v>
      </c>
      <c r="B8" s="8" t="s">
        <v>283</v>
      </c>
      <c r="C8" s="9">
        <v>157.55000000000001</v>
      </c>
      <c r="D8" s="10">
        <v>38.111159999999998</v>
      </c>
      <c r="E8" s="9">
        <f t="shared" si="2"/>
        <v>24.189882576959693</v>
      </c>
      <c r="F8" s="9">
        <f t="shared" si="1"/>
        <v>-119.43884000000001</v>
      </c>
    </row>
    <row r="9" spans="1:6">
      <c r="A9" s="7">
        <v>1030224001</v>
      </c>
      <c r="B9" s="8" t="s">
        <v>289</v>
      </c>
      <c r="C9" s="9">
        <v>1.69</v>
      </c>
      <c r="D9" s="10">
        <v>0.25857999999999998</v>
      </c>
      <c r="E9" s="9">
        <f t="shared" si="2"/>
        <v>15.300591715976331</v>
      </c>
      <c r="F9" s="9">
        <f t="shared" si="1"/>
        <v>-1.4314199999999999</v>
      </c>
    </row>
    <row r="10" spans="1:6">
      <c r="A10" s="7">
        <v>1030225001</v>
      </c>
      <c r="B10" s="8" t="s">
        <v>282</v>
      </c>
      <c r="C10" s="9">
        <v>263.14</v>
      </c>
      <c r="D10" s="10">
        <v>55.977730000000001</v>
      </c>
      <c r="E10" s="9">
        <f t="shared" si="2"/>
        <v>21.272983962909478</v>
      </c>
      <c r="F10" s="9">
        <f t="shared" si="1"/>
        <v>-207.16226999999998</v>
      </c>
    </row>
    <row r="11" spans="1:6">
      <c r="A11" s="7">
        <v>1030226001</v>
      </c>
      <c r="B11" s="8" t="s">
        <v>291</v>
      </c>
      <c r="C11" s="9">
        <v>0</v>
      </c>
      <c r="D11" s="10">
        <v>-8.3028300000000002</v>
      </c>
      <c r="E11" s="9" t="e">
        <f t="shared" si="2"/>
        <v>#DIV/0!</v>
      </c>
      <c r="F11" s="9">
        <f t="shared" si="1"/>
        <v>-8.3028300000000002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0.74790000000000001</v>
      </c>
      <c r="E12" s="5">
        <f t="shared" si="0"/>
        <v>14.957999999999998</v>
      </c>
      <c r="F12" s="5">
        <f t="shared" si="1"/>
        <v>-4.2521000000000004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0.74790000000000001</v>
      </c>
      <c r="E13" s="9">
        <f t="shared" si="0"/>
        <v>14.957999999999998</v>
      </c>
      <c r="F13" s="9">
        <f t="shared" si="1"/>
        <v>-4.2521000000000004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1456</v>
      </c>
      <c r="D14" s="5">
        <f>D15+D16</f>
        <v>51.623370000000001</v>
      </c>
      <c r="E14" s="5">
        <f t="shared" si="0"/>
        <v>3.5455611263736269</v>
      </c>
      <c r="F14" s="5">
        <f t="shared" si="1"/>
        <v>-1404.37663</v>
      </c>
    </row>
    <row r="15" spans="1:6" s="6" customFormat="1" ht="15.75" customHeight="1">
      <c r="A15" s="7">
        <v>1060100000</v>
      </c>
      <c r="B15" s="11" t="s">
        <v>9</v>
      </c>
      <c r="C15" s="9">
        <v>428</v>
      </c>
      <c r="D15" s="10">
        <v>1.86206</v>
      </c>
      <c r="E15" s="9">
        <f t="shared" si="0"/>
        <v>0.43506074766355141</v>
      </c>
      <c r="F15" s="9">
        <f>SUM(D15-C15)</f>
        <v>-426.13794000000001</v>
      </c>
    </row>
    <row r="16" spans="1:6" ht="15.75" customHeight="1">
      <c r="A16" s="7">
        <v>1060600000</v>
      </c>
      <c r="B16" s="11" t="s">
        <v>8</v>
      </c>
      <c r="C16" s="9">
        <v>1028</v>
      </c>
      <c r="D16" s="10">
        <v>49.761310000000002</v>
      </c>
      <c r="E16" s="9">
        <f t="shared" si="0"/>
        <v>4.8405943579766539</v>
      </c>
      <c r="F16" s="9">
        <f t="shared" si="1"/>
        <v>-978.23869000000002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1.5</v>
      </c>
      <c r="E17" s="5">
        <f t="shared" si="0"/>
        <v>30</v>
      </c>
      <c r="F17" s="5">
        <f t="shared" si="1"/>
        <v>-3.5</v>
      </c>
    </row>
    <row r="18" spans="1:6">
      <c r="A18" s="7">
        <v>1080400001</v>
      </c>
      <c r="B18" s="8" t="s">
        <v>228</v>
      </c>
      <c r="C18" s="9">
        <v>5</v>
      </c>
      <c r="D18" s="10">
        <v>1.5</v>
      </c>
      <c r="E18" s="9">
        <f t="shared" si="0"/>
        <v>30</v>
      </c>
      <c r="F18" s="9">
        <f t="shared" si="1"/>
        <v>-3.5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475.22726999999998</v>
      </c>
      <c r="D25" s="5">
        <f>D26+D29+D31+D34</f>
        <v>36.381180000000001</v>
      </c>
      <c r="E25" s="5">
        <f t="shared" si="0"/>
        <v>7.6555328990274489</v>
      </c>
      <c r="F25" s="5">
        <f t="shared" si="1"/>
        <v>-438.84609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300</v>
      </c>
      <c r="D26" s="5">
        <f>D27</f>
        <v>24.88918</v>
      </c>
      <c r="E26" s="5">
        <f t="shared" si="0"/>
        <v>8.2963933333333344</v>
      </c>
      <c r="F26" s="5">
        <f t="shared" si="1"/>
        <v>-275.11081999999999</v>
      </c>
    </row>
    <row r="27" spans="1:6" ht="15" customHeight="1">
      <c r="A27" s="16">
        <v>1110502510</v>
      </c>
      <c r="B27" s="17" t="s">
        <v>226</v>
      </c>
      <c r="C27" s="12">
        <v>300</v>
      </c>
      <c r="D27" s="10">
        <v>24.88918</v>
      </c>
      <c r="E27" s="5">
        <f t="shared" si="0"/>
        <v>8.2963933333333344</v>
      </c>
      <c r="F27" s="9">
        <f t="shared" si="1"/>
        <v>-275.11081999999999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customHeight="1">
      <c r="A29" s="3">
        <v>1130000000</v>
      </c>
      <c r="B29" s="13" t="s">
        <v>131</v>
      </c>
      <c r="C29" s="5">
        <f>C30</f>
        <v>0</v>
      </c>
      <c r="D29" s="5">
        <f>D30</f>
        <v>5.093</v>
      </c>
      <c r="E29" s="5" t="e">
        <f t="shared" si="0"/>
        <v>#DIV/0!</v>
      </c>
      <c r="F29" s="5">
        <f t="shared" si="1"/>
        <v>5.093</v>
      </c>
    </row>
    <row r="30" spans="1:6" ht="50.25" customHeight="1">
      <c r="A30" s="7">
        <v>1130305005</v>
      </c>
      <c r="B30" s="8" t="s">
        <v>224</v>
      </c>
      <c r="C30" s="9">
        <v>0</v>
      </c>
      <c r="D30" s="10">
        <v>5.093</v>
      </c>
      <c r="E30" s="9" t="e">
        <f t="shared" si="0"/>
        <v>#DIV/0!</v>
      </c>
      <c r="F30" s="9">
        <f t="shared" si="1"/>
        <v>5.093</v>
      </c>
    </row>
    <row r="31" spans="1:6" ht="33" customHeight="1">
      <c r="A31" s="109">
        <v>1140000000</v>
      </c>
      <c r="B31" s="110" t="s">
        <v>132</v>
      </c>
      <c r="C31" s="5">
        <f>C33</f>
        <v>175.22727</v>
      </c>
      <c r="D31" s="5">
        <f>D32+D33</f>
        <v>6.399</v>
      </c>
      <c r="E31" s="5">
        <f t="shared" si="0"/>
        <v>3.6518288506121226</v>
      </c>
      <c r="F31" s="5">
        <f t="shared" si="1"/>
        <v>-168.82827</v>
      </c>
    </row>
    <row r="32" spans="1:6" ht="27" customHeight="1">
      <c r="A32" s="16">
        <v>1140200000</v>
      </c>
      <c r="B32" s="18" t="s">
        <v>222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223</v>
      </c>
      <c r="C33" s="9">
        <v>175.22727</v>
      </c>
      <c r="D33" s="10">
        <v>0</v>
      </c>
      <c r="E33" s="9">
        <f t="shared" si="0"/>
        <v>0</v>
      </c>
      <c r="F33" s="9">
        <f t="shared" si="1"/>
        <v>-175.22727</v>
      </c>
    </row>
    <row r="34" spans="1:8" ht="27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23.2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32.2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2473.2962699999998</v>
      </c>
      <c r="D37" s="127">
        <f>D4+D25</f>
        <v>189.78862999999998</v>
      </c>
      <c r="E37" s="5">
        <f t="shared" si="0"/>
        <v>7.6735097328230726</v>
      </c>
      <c r="F37" s="5">
        <f t="shared" si="1"/>
        <v>-2283.5076399999998</v>
      </c>
    </row>
    <row r="38" spans="1:8" s="6" customFormat="1">
      <c r="A38" s="3">
        <v>2000000000</v>
      </c>
      <c r="B38" s="4" t="s">
        <v>20</v>
      </c>
      <c r="C38" s="342">
        <f>C39+C41+C42+C44+C45+C46+C40</f>
        <v>9256.0466799999995</v>
      </c>
      <c r="D38" s="342">
        <f>D39+D41+D42+D44+D45+D46+D40</f>
        <v>347.10368</v>
      </c>
      <c r="E38" s="5">
        <f t="shared" si="0"/>
        <v>3.7500208458326405</v>
      </c>
      <c r="F38" s="5">
        <f t="shared" si="1"/>
        <v>-8908.9429999999993</v>
      </c>
      <c r="G38" s="19"/>
    </row>
    <row r="39" spans="1:8">
      <c r="A39" s="16">
        <v>2021000000</v>
      </c>
      <c r="B39" s="17" t="s">
        <v>21</v>
      </c>
      <c r="C39" s="12">
        <v>550.70000000000005</v>
      </c>
      <c r="D39" s="441">
        <v>91.784000000000006</v>
      </c>
      <c r="E39" s="9">
        <f t="shared" si="0"/>
        <v>16.666787724713998</v>
      </c>
      <c r="F39" s="9">
        <f t="shared" si="1"/>
        <v>-458.91600000000005</v>
      </c>
    </row>
    <row r="40" spans="1:8" ht="15.75" customHeight="1">
      <c r="A40" s="16">
        <v>2021500200</v>
      </c>
      <c r="B40" s="17" t="s">
        <v>232</v>
      </c>
      <c r="C40" s="12">
        <v>3500</v>
      </c>
      <c r="D40" s="20">
        <v>0</v>
      </c>
      <c r="E40" s="9">
        <f t="shared" si="0"/>
        <v>0</v>
      </c>
      <c r="F40" s="9">
        <f t="shared" si="1"/>
        <v>-3500</v>
      </c>
    </row>
    <row r="41" spans="1:8">
      <c r="A41" s="16">
        <v>2022000000</v>
      </c>
      <c r="B41" s="17" t="s">
        <v>22</v>
      </c>
      <c r="C41" s="12">
        <v>4871.8450000000003</v>
      </c>
      <c r="D41" s="10">
        <v>0</v>
      </c>
      <c r="E41" s="9">
        <f t="shared" si="0"/>
        <v>0</v>
      </c>
      <c r="F41" s="9">
        <f t="shared" si="1"/>
        <v>-4871.8450000000003</v>
      </c>
    </row>
    <row r="42" spans="1:8" ht="13.5" customHeight="1">
      <c r="A42" s="16">
        <v>2023000000</v>
      </c>
      <c r="B42" s="17" t="s">
        <v>23</v>
      </c>
      <c r="C42" s="12">
        <v>93.018000000000001</v>
      </c>
      <c r="D42" s="251">
        <v>14.836</v>
      </c>
      <c r="E42" s="9">
        <f t="shared" si="0"/>
        <v>15.949601152465116</v>
      </c>
      <c r="F42" s="9">
        <f t="shared" si="1"/>
        <v>-78.182000000000002</v>
      </c>
    </row>
    <row r="43" spans="1:8" hidden="1">
      <c r="A43" s="16">
        <v>2070503010</v>
      </c>
      <c r="B43" s="17" t="s">
        <v>271</v>
      </c>
      <c r="C43" s="12">
        <v>0</v>
      </c>
      <c r="D43" s="251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24</v>
      </c>
      <c r="C44" s="12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240.48367999999999</v>
      </c>
      <c r="D45" s="252">
        <v>240.48367999999999</v>
      </c>
      <c r="E45" s="9">
        <v>922</v>
      </c>
      <c r="F45" s="9">
        <f t="shared" si="1"/>
        <v>0</v>
      </c>
      <c r="G45" s="356"/>
      <c r="H45" s="356"/>
    </row>
    <row r="46" spans="1:8" ht="30.7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70">
        <f>SUM(C37,C38,C47)</f>
        <v>11729.342949999998</v>
      </c>
      <c r="D48" s="371">
        <f>D37+D38</f>
        <v>536.89230999999995</v>
      </c>
      <c r="E48" s="5">
        <f t="shared" si="0"/>
        <v>4.5773434393441459</v>
      </c>
      <c r="F48" s="5">
        <f t="shared" si="1"/>
        <v>-11192.450639999999</v>
      </c>
      <c r="G48" s="293"/>
    </row>
    <row r="49" spans="1:6" s="6" customFormat="1">
      <c r="A49" s="3"/>
      <c r="B49" s="21" t="s">
        <v>321</v>
      </c>
      <c r="C49" s="372">
        <f>C48-C95</f>
        <v>17.591279999996914</v>
      </c>
      <c r="D49" s="372">
        <f>D48-D95</f>
        <v>98.781049999999937</v>
      </c>
      <c r="E49" s="22"/>
      <c r="F49" s="22"/>
    </row>
    <row r="50" spans="1:6" ht="23.25" customHeight="1">
      <c r="A50" s="23"/>
      <c r="B50" s="24"/>
      <c r="C50" s="325"/>
      <c r="D50" s="325"/>
      <c r="E50" s="26"/>
      <c r="F50" s="27"/>
    </row>
    <row r="51" spans="1:6" ht="63">
      <c r="A51" s="28" t="s">
        <v>1</v>
      </c>
      <c r="B51" s="28" t="s">
        <v>29</v>
      </c>
      <c r="C51" s="72" t="s">
        <v>412</v>
      </c>
      <c r="D51" s="73" t="s">
        <v>418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409">
        <f>C54+C55+C56+C57+C58+C60+C59</f>
        <v>1294.6619999999998</v>
      </c>
      <c r="D53" s="409">
        <f>D54+D55+D56+D57+D58+D60+D59</f>
        <v>133.49656999999999</v>
      </c>
      <c r="E53" s="34">
        <f>SUM(D53/C53*100)</f>
        <v>10.311306734885244</v>
      </c>
      <c r="F53" s="34">
        <f>SUM(D53-C53)</f>
        <v>-1161.1654299999998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1286.5719999999999</v>
      </c>
      <c r="D55" s="37">
        <v>130.40707</v>
      </c>
      <c r="E55" s="38">
        <f t="shared" ref="E55:E95" si="3">SUM(D55/C55*100)</f>
        <v>10.1360102660403</v>
      </c>
      <c r="F55" s="38">
        <f t="shared" ref="F55:F95" si="4">SUM(D55-C55)</f>
        <v>-1156.1649299999999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46</v>
      </c>
      <c r="B61" s="42" t="s">
        <v>47</v>
      </c>
      <c r="C61" s="409">
        <f>C62</f>
        <v>89.944999999999993</v>
      </c>
      <c r="D61" s="409">
        <f>D62</f>
        <v>9.34328</v>
      </c>
      <c r="E61" s="34">
        <f t="shared" si="3"/>
        <v>10.387770304074714</v>
      </c>
      <c r="F61" s="34">
        <f t="shared" si="4"/>
        <v>-80.60172</v>
      </c>
    </row>
    <row r="62" spans="1:6">
      <c r="A62" s="43" t="s">
        <v>48</v>
      </c>
      <c r="B62" s="44" t="s">
        <v>49</v>
      </c>
      <c r="C62" s="37">
        <v>89.944999999999993</v>
      </c>
      <c r="D62" s="37">
        <v>9.34328</v>
      </c>
      <c r="E62" s="38">
        <f t="shared" si="3"/>
        <v>10.387770304074714</v>
      </c>
      <c r="F62" s="38">
        <f t="shared" si="4"/>
        <v>-80.60172</v>
      </c>
    </row>
    <row r="63" spans="1:6" s="6" customFormat="1" ht="16.5" customHeight="1">
      <c r="A63" s="30" t="s">
        <v>50</v>
      </c>
      <c r="B63" s="31" t="s">
        <v>51</v>
      </c>
      <c r="C63" s="409">
        <f>C67+C66+C68</f>
        <v>14</v>
      </c>
      <c r="D63" s="409">
        <f>D67+D66</f>
        <v>3.1354299999999999</v>
      </c>
      <c r="E63" s="34">
        <f t="shared" si="3"/>
        <v>22.395928571428573</v>
      </c>
      <c r="F63" s="34">
        <f t="shared" si="4"/>
        <v>-10.864570000000001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2</v>
      </c>
      <c r="D66" s="37">
        <v>0</v>
      </c>
      <c r="E66" s="34">
        <f t="shared" si="3"/>
        <v>0</v>
      </c>
      <c r="F66" s="34">
        <f t="shared" si="4"/>
        <v>-2</v>
      </c>
    </row>
    <row r="67" spans="1:7" ht="15.75" customHeight="1">
      <c r="A67" s="46" t="s">
        <v>219</v>
      </c>
      <c r="B67" s="47" t="s">
        <v>220</v>
      </c>
      <c r="C67" s="37">
        <v>10</v>
      </c>
      <c r="D67" s="37">
        <v>3.1354299999999999</v>
      </c>
      <c r="E67" s="34">
        <f t="shared" si="3"/>
        <v>31.354300000000002</v>
      </c>
      <c r="F67" s="34">
        <f t="shared" si="4"/>
        <v>-6.8645700000000005</v>
      </c>
    </row>
    <row r="68" spans="1:7" ht="15.75" customHeight="1">
      <c r="A68" s="46" t="s">
        <v>358</v>
      </c>
      <c r="B68" s="47" t="s">
        <v>359</v>
      </c>
      <c r="C68" s="37">
        <v>2</v>
      </c>
      <c r="D68" s="37"/>
      <c r="E68" s="34"/>
      <c r="F68" s="34"/>
    </row>
    <row r="69" spans="1:7" s="6" customFormat="1">
      <c r="A69" s="30" t="s">
        <v>58</v>
      </c>
      <c r="B69" s="31" t="s">
        <v>59</v>
      </c>
      <c r="C69" s="461">
        <f>SUM(C70:C73)</f>
        <v>3240.57629</v>
      </c>
      <c r="D69" s="48">
        <f>SUM(D70:D73)</f>
        <v>78.018389999999997</v>
      </c>
      <c r="E69" s="34">
        <f t="shared" si="3"/>
        <v>2.407546776193934</v>
      </c>
      <c r="F69" s="34">
        <f t="shared" si="4"/>
        <v>-3162.5578999999998</v>
      </c>
    </row>
    <row r="70" spans="1:7" ht="15" customHeight="1">
      <c r="A70" s="35" t="s">
        <v>60</v>
      </c>
      <c r="B70" s="39" t="s">
        <v>61</v>
      </c>
      <c r="C70" s="49">
        <v>8.0429999999999993</v>
      </c>
      <c r="D70" s="37">
        <v>0</v>
      </c>
      <c r="E70" s="38">
        <f t="shared" si="3"/>
        <v>0</v>
      </c>
      <c r="F70" s="38">
        <f t="shared" si="4"/>
        <v>-8.0429999999999993</v>
      </c>
    </row>
    <row r="71" spans="1:7" s="6" customFormat="1" ht="18" customHeight="1">
      <c r="A71" s="35" t="s">
        <v>62</v>
      </c>
      <c r="B71" s="39" t="s">
        <v>63</v>
      </c>
      <c r="C71" s="49">
        <v>1230.0246099999999</v>
      </c>
      <c r="D71" s="37">
        <v>20.024609999999999</v>
      </c>
      <c r="E71" s="38">
        <f t="shared" si="3"/>
        <v>1.6279845002450806</v>
      </c>
      <c r="F71" s="38">
        <f t="shared" si="4"/>
        <v>-1210</v>
      </c>
      <c r="G71" s="50"/>
    </row>
    <row r="72" spans="1:7">
      <c r="A72" s="35" t="s">
        <v>64</v>
      </c>
      <c r="B72" s="39" t="s">
        <v>65</v>
      </c>
      <c r="C72" s="49">
        <v>1932.5086799999999</v>
      </c>
      <c r="D72" s="37">
        <v>24.039159999999999</v>
      </c>
      <c r="E72" s="38">
        <f t="shared" si="3"/>
        <v>1.2439354218062295</v>
      </c>
      <c r="F72" s="38">
        <f t="shared" si="4"/>
        <v>-1908.4695199999999</v>
      </c>
    </row>
    <row r="73" spans="1:7">
      <c r="A73" s="35" t="s">
        <v>66</v>
      </c>
      <c r="B73" s="39" t="s">
        <v>67</v>
      </c>
      <c r="C73" s="49">
        <v>70</v>
      </c>
      <c r="D73" s="37">
        <v>33.954619999999998</v>
      </c>
      <c r="E73" s="38">
        <f t="shared" si="3"/>
        <v>48.506599999999999</v>
      </c>
      <c r="F73" s="38">
        <f t="shared" si="4"/>
        <v>-36.045380000000002</v>
      </c>
    </row>
    <row r="74" spans="1:7" s="6" customFormat="1" ht="16.5" customHeight="1">
      <c r="A74" s="30" t="s">
        <v>68</v>
      </c>
      <c r="B74" s="31" t="s">
        <v>69</v>
      </c>
      <c r="C74" s="460">
        <f>SUM(C75:C77)</f>
        <v>235.28959</v>
      </c>
      <c r="D74" s="32">
        <f>SUM(D76:D77)</f>
        <v>127.83259</v>
      </c>
      <c r="E74" s="34">
        <f t="shared" si="3"/>
        <v>54.329896193027494</v>
      </c>
      <c r="F74" s="34">
        <f t="shared" si="4"/>
        <v>-107.45700000000001</v>
      </c>
    </row>
    <row r="75" spans="1:7" hidden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72</v>
      </c>
      <c r="B76" s="51" t="s">
        <v>73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74</v>
      </c>
      <c r="B77" s="39" t="s">
        <v>75</v>
      </c>
      <c r="C77" s="37">
        <v>235.28959</v>
      </c>
      <c r="D77" s="37">
        <v>127.83259</v>
      </c>
      <c r="E77" s="38">
        <f>SUM(D77/C77*100)</f>
        <v>54.329896193027494</v>
      </c>
      <c r="F77" s="38">
        <f t="shared" si="4"/>
        <v>-107.45700000000001</v>
      </c>
    </row>
    <row r="78" spans="1:7" s="6" customFormat="1">
      <c r="A78" s="30" t="s">
        <v>86</v>
      </c>
      <c r="B78" s="31" t="s">
        <v>87</v>
      </c>
      <c r="C78" s="424">
        <f>C79</f>
        <v>6835.2787900000003</v>
      </c>
      <c r="D78" s="32">
        <f>SUM(D79)</f>
        <v>85</v>
      </c>
      <c r="E78" s="34">
        <f t="shared" si="3"/>
        <v>1.2435483995818113</v>
      </c>
      <c r="F78" s="34">
        <f t="shared" si="4"/>
        <v>-6750.2787900000003</v>
      </c>
    </row>
    <row r="79" spans="1:7" ht="36" customHeight="1">
      <c r="A79" s="35" t="s">
        <v>88</v>
      </c>
      <c r="B79" s="39" t="s">
        <v>234</v>
      </c>
      <c r="C79" s="37">
        <v>6835.2787900000003</v>
      </c>
      <c r="D79" s="37">
        <v>85</v>
      </c>
      <c r="E79" s="38">
        <f t="shared" si="3"/>
        <v>1.2435483995818113</v>
      </c>
      <c r="F79" s="38">
        <f t="shared" si="4"/>
        <v>-6750.2787900000003</v>
      </c>
    </row>
    <row r="80" spans="1:7" s="6" customFormat="1" ht="0.75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90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92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95</v>
      </c>
      <c r="B85" s="31" t="s">
        <v>96</v>
      </c>
      <c r="C85" s="32">
        <f>C86+C87+C88+C89+C90</f>
        <v>2</v>
      </c>
      <c r="D85" s="32">
        <f>D86+D87+D88+D89+D90</f>
        <v>1.2849999999999999</v>
      </c>
      <c r="E85" s="38">
        <f t="shared" si="3"/>
        <v>64.25</v>
      </c>
      <c r="F85" s="22">
        <f>F86+F87+F88+F89+F90</f>
        <v>-0.71500000000000008</v>
      </c>
    </row>
    <row r="86" spans="1:6" ht="15" customHeight="1">
      <c r="A86" s="35" t="s">
        <v>97</v>
      </c>
      <c r="B86" s="39" t="s">
        <v>98</v>
      </c>
      <c r="C86" s="345">
        <v>2</v>
      </c>
      <c r="D86" s="345">
        <v>1.2849999999999999</v>
      </c>
      <c r="E86" s="38">
        <f t="shared" si="3"/>
        <v>64.25</v>
      </c>
      <c r="F86" s="38">
        <f>SUM(D86-C86)</f>
        <v>-0.71500000000000008</v>
      </c>
    </row>
    <row r="87" spans="1:6" ht="15.75" hidden="1" customHeight="1">
      <c r="A87" s="35" t="s">
        <v>99</v>
      </c>
      <c r="B87" s="39" t="s">
        <v>100</v>
      </c>
      <c r="C87" s="345"/>
      <c r="D87" s="345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45"/>
      <c r="D88" s="345"/>
      <c r="E88" s="38" t="e">
        <f t="shared" si="3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45"/>
      <c r="D89" s="345"/>
      <c r="E89" s="38" t="e">
        <f t="shared" si="3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45"/>
      <c r="D90" s="345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115</v>
      </c>
      <c r="C91" s="346">
        <f>C92+C93+C94</f>
        <v>0</v>
      </c>
      <c r="D91" s="346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116</v>
      </c>
      <c r="C92" s="347"/>
      <c r="D92" s="345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117</v>
      </c>
      <c r="C93" s="347"/>
      <c r="D93" s="345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118</v>
      </c>
      <c r="C94" s="348">
        <v>0</v>
      </c>
      <c r="D94" s="349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119</v>
      </c>
      <c r="C95" s="371">
        <f>C53+C61+C63+C69+C74+C78+C85</f>
        <v>11711.751670000001</v>
      </c>
      <c r="D95" s="371">
        <f>D53+D61+D63+D69+D74+D78+D85</f>
        <v>438.11126000000002</v>
      </c>
      <c r="E95" s="34">
        <f t="shared" si="3"/>
        <v>3.7407833801858601</v>
      </c>
      <c r="F95" s="34">
        <f t="shared" si="4"/>
        <v>-11273.640410000002</v>
      </c>
    </row>
    <row r="96" spans="1:6" ht="16.5" customHeight="1">
      <c r="C96" s="126"/>
      <c r="D96" s="101"/>
    </row>
    <row r="97" spans="1:4" s="113" customFormat="1" ht="20.25" customHeight="1">
      <c r="A97" s="111" t="s">
        <v>120</v>
      </c>
      <c r="B97" s="111"/>
      <c r="C97" s="129"/>
      <c r="D97" s="112"/>
    </row>
    <row r="98" spans="1:4" s="113" customFormat="1" ht="13.5" customHeight="1">
      <c r="A98" s="114" t="s">
        <v>121</v>
      </c>
      <c r="B98" s="114"/>
      <c r="C98" s="118" t="s">
        <v>122</v>
      </c>
    </row>
    <row r="100" spans="1:4" ht="5.25" customHeight="1"/>
  </sheetData>
  <customSheetViews>
    <customSheetView guid="{37D0E254-14A1-48DF-98B1-097427A51078}" scale="70" showPageBreaks="1" hiddenRows="1" view="pageBreakPreview" topLeftCell="A26">
      <selection activeCell="C63" sqref="C63"/>
      <pageMargins left="0.70866141732283472" right="0.70866141732283472" top="0.74803149606299213" bottom="0.74803149606299213" header="0.31496062992125984" footer="0.31496062992125984"/>
      <pageSetup paperSize="9" scale="51" orientation="portrait" r:id="rId1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4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5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6"/>
    </customSheetView>
    <customSheetView guid="{61528DAC-5C4C-48F4-ADE2-8A724B05A086}" scale="70" showPageBreaks="1" hiddenRows="1" view="pageBreakPreview" topLeftCell="A37">
      <selection activeCell="A68" sqref="A68:XFD6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  <customSheetView guid="{B30CE22D-C12F-4E12-8BB9-3AAE0A6991CC}" scale="70" showPageBreaks="1" hiddenRows="1" view="pageBreakPreview" topLeftCell="A26">
      <selection activeCell="C63" sqref="C63"/>
      <pageMargins left="0.70866141732283472" right="0.70866141732283472" top="0.74803149606299213" bottom="0.74803149606299213" header="0.31496062992125984" footer="0.31496062992125984"/>
      <pageSetup paperSize="9" scale="51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Normal="100" zoomScaleSheetLayoutView="7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DM10" sqref="A10:XFD10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32" t="s">
        <v>137</v>
      </c>
      <c r="Y1" s="532"/>
      <c r="Z1" s="532"/>
      <c r="AA1" s="156"/>
      <c r="AB1" s="156"/>
      <c r="AC1" s="156"/>
      <c r="AD1" s="527"/>
      <c r="AE1" s="527"/>
      <c r="AF1" s="527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527"/>
      <c r="AE2" s="527"/>
      <c r="AF2" s="527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31" t="s">
        <v>139</v>
      </c>
      <c r="Y3" s="531"/>
      <c r="Z3" s="531"/>
      <c r="AA3" s="158"/>
      <c r="AB3" s="158"/>
      <c r="AC3" s="158"/>
      <c r="AD3" s="531"/>
      <c r="AE3" s="531"/>
      <c r="AF3" s="531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35" t="s">
        <v>140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33" t="s">
        <v>440</v>
      </c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512" t="s">
        <v>141</v>
      </c>
      <c r="B7" s="512" t="s">
        <v>142</v>
      </c>
      <c r="C7" s="503" t="s">
        <v>143</v>
      </c>
      <c r="D7" s="504"/>
      <c r="E7" s="505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503" t="s">
        <v>145</v>
      </c>
      <c r="DH7" s="504"/>
      <c r="DI7" s="505"/>
      <c r="DJ7" s="503"/>
      <c r="DK7" s="504"/>
      <c r="DL7" s="504"/>
      <c r="DM7" s="504"/>
      <c r="DN7" s="504"/>
      <c r="DO7" s="504"/>
      <c r="DP7" s="504"/>
      <c r="DQ7" s="504"/>
      <c r="DR7" s="504"/>
      <c r="DS7" s="504"/>
      <c r="DT7" s="504"/>
      <c r="DU7" s="504"/>
      <c r="DV7" s="504"/>
      <c r="DW7" s="504"/>
      <c r="DX7" s="504"/>
      <c r="DY7" s="504"/>
      <c r="DZ7" s="504"/>
      <c r="EA7" s="504"/>
      <c r="EB7" s="504"/>
      <c r="EC7" s="504"/>
      <c r="ED7" s="504"/>
      <c r="EE7" s="504"/>
      <c r="EF7" s="504"/>
      <c r="EG7" s="504"/>
      <c r="EH7" s="504"/>
      <c r="EI7" s="504"/>
      <c r="EJ7" s="504"/>
      <c r="EK7" s="504"/>
      <c r="EL7" s="504"/>
      <c r="EM7" s="504"/>
      <c r="EN7" s="504"/>
      <c r="EO7" s="504"/>
      <c r="EP7" s="504"/>
      <c r="EQ7" s="504"/>
      <c r="ER7" s="504"/>
      <c r="ES7" s="504"/>
      <c r="ET7" s="504"/>
      <c r="EU7" s="504"/>
      <c r="EV7" s="505"/>
      <c r="EW7" s="503" t="s">
        <v>146</v>
      </c>
      <c r="EX7" s="504"/>
      <c r="EY7" s="505"/>
    </row>
    <row r="8" spans="1:159" s="169" customFormat="1" ht="15" customHeight="1">
      <c r="A8" s="512"/>
      <c r="B8" s="512"/>
      <c r="C8" s="506"/>
      <c r="D8" s="507"/>
      <c r="E8" s="508"/>
      <c r="F8" s="506" t="s">
        <v>147</v>
      </c>
      <c r="G8" s="507"/>
      <c r="H8" s="508"/>
      <c r="I8" s="528" t="s">
        <v>148</v>
      </c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29"/>
      <c r="AQ8" s="529"/>
      <c r="AR8" s="529"/>
      <c r="AS8" s="529"/>
      <c r="AT8" s="529"/>
      <c r="AU8" s="529"/>
      <c r="AV8" s="529"/>
      <c r="AW8" s="529"/>
      <c r="AX8" s="530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512" t="s">
        <v>149</v>
      </c>
      <c r="CA8" s="512"/>
      <c r="CB8" s="512"/>
      <c r="CC8" s="509" t="s">
        <v>148</v>
      </c>
      <c r="CD8" s="510"/>
      <c r="CE8" s="510"/>
      <c r="CF8" s="510"/>
      <c r="CG8" s="510"/>
      <c r="CH8" s="510"/>
      <c r="CI8" s="510"/>
      <c r="CJ8" s="510"/>
      <c r="CK8" s="510"/>
      <c r="CL8" s="510"/>
      <c r="CM8" s="510"/>
      <c r="CN8" s="510"/>
      <c r="CO8" s="170"/>
      <c r="CP8" s="170"/>
      <c r="CQ8" s="170"/>
      <c r="CR8" s="170"/>
      <c r="CS8" s="170"/>
      <c r="CT8" s="170"/>
      <c r="CU8" s="175"/>
      <c r="CV8" s="175"/>
      <c r="CW8" s="176"/>
      <c r="CX8" s="506" t="s">
        <v>150</v>
      </c>
      <c r="CY8" s="507"/>
      <c r="CZ8" s="508"/>
      <c r="DA8" s="537"/>
      <c r="DB8" s="538"/>
      <c r="DC8" s="539"/>
      <c r="DD8" s="537"/>
      <c r="DE8" s="538"/>
      <c r="DF8" s="539"/>
      <c r="DG8" s="506"/>
      <c r="DH8" s="507"/>
      <c r="DI8" s="508"/>
      <c r="DJ8" s="506" t="s">
        <v>148</v>
      </c>
      <c r="DK8" s="507"/>
      <c r="DL8" s="507"/>
      <c r="DM8" s="507"/>
      <c r="DN8" s="507"/>
      <c r="DO8" s="507"/>
      <c r="DP8" s="507"/>
      <c r="DQ8" s="507"/>
      <c r="DR8" s="507"/>
      <c r="DS8" s="507"/>
      <c r="DT8" s="507"/>
      <c r="DU8" s="507"/>
      <c r="DV8" s="507"/>
      <c r="DW8" s="507"/>
      <c r="DX8" s="507"/>
      <c r="DY8" s="507"/>
      <c r="DZ8" s="507"/>
      <c r="EA8" s="507"/>
      <c r="EB8" s="507"/>
      <c r="EC8" s="507"/>
      <c r="ED8" s="507"/>
      <c r="EE8" s="507"/>
      <c r="EF8" s="507"/>
      <c r="EG8" s="507"/>
      <c r="EH8" s="507"/>
      <c r="EI8" s="507"/>
      <c r="EJ8" s="507"/>
      <c r="EK8" s="507"/>
      <c r="EL8" s="507"/>
      <c r="EM8" s="507"/>
      <c r="EN8" s="507"/>
      <c r="EO8" s="507"/>
      <c r="EP8" s="507"/>
      <c r="EQ8" s="507"/>
      <c r="ER8" s="507"/>
      <c r="ES8" s="507"/>
      <c r="ET8" s="507"/>
      <c r="EU8" s="507"/>
      <c r="EV8" s="508"/>
      <c r="EW8" s="506"/>
      <c r="EX8" s="507"/>
      <c r="EY8" s="508"/>
    </row>
    <row r="9" spans="1:159" s="169" customFormat="1" ht="15" customHeight="1">
      <c r="A9" s="512"/>
      <c r="B9" s="512"/>
      <c r="C9" s="506"/>
      <c r="D9" s="507"/>
      <c r="E9" s="508"/>
      <c r="F9" s="506"/>
      <c r="G9" s="507"/>
      <c r="H9" s="508"/>
      <c r="I9" s="503" t="s">
        <v>151</v>
      </c>
      <c r="J9" s="504"/>
      <c r="K9" s="505"/>
      <c r="L9" s="503" t="s">
        <v>293</v>
      </c>
      <c r="M9" s="504"/>
      <c r="N9" s="505"/>
      <c r="O9" s="503" t="s">
        <v>296</v>
      </c>
      <c r="P9" s="504"/>
      <c r="Q9" s="505"/>
      <c r="R9" s="503" t="s">
        <v>294</v>
      </c>
      <c r="S9" s="504"/>
      <c r="T9" s="505"/>
      <c r="U9" s="503" t="s">
        <v>295</v>
      </c>
      <c r="V9" s="504"/>
      <c r="W9" s="505"/>
      <c r="X9" s="503" t="s">
        <v>152</v>
      </c>
      <c r="Y9" s="504"/>
      <c r="Z9" s="505"/>
      <c r="AA9" s="503" t="s">
        <v>153</v>
      </c>
      <c r="AB9" s="504"/>
      <c r="AC9" s="505"/>
      <c r="AD9" s="503" t="s">
        <v>154</v>
      </c>
      <c r="AE9" s="504"/>
      <c r="AF9" s="505"/>
      <c r="AG9" s="512" t="s">
        <v>155</v>
      </c>
      <c r="AH9" s="512"/>
      <c r="AI9" s="512"/>
      <c r="AJ9" s="503" t="s">
        <v>255</v>
      </c>
      <c r="AK9" s="504"/>
      <c r="AL9" s="505"/>
      <c r="AM9" s="503" t="s">
        <v>156</v>
      </c>
      <c r="AN9" s="504"/>
      <c r="AO9" s="505"/>
      <c r="AP9" s="503" t="s">
        <v>346</v>
      </c>
      <c r="AQ9" s="504"/>
      <c r="AR9" s="505"/>
      <c r="AS9" s="503" t="s">
        <v>157</v>
      </c>
      <c r="AT9" s="504"/>
      <c r="AU9" s="505"/>
      <c r="AV9" s="503" t="s">
        <v>158</v>
      </c>
      <c r="AW9" s="504"/>
      <c r="AX9" s="505"/>
      <c r="AY9" s="503" t="s">
        <v>257</v>
      </c>
      <c r="AZ9" s="504"/>
      <c r="BA9" s="505"/>
      <c r="BB9" s="503" t="s">
        <v>356</v>
      </c>
      <c r="BC9" s="504"/>
      <c r="BD9" s="505"/>
      <c r="BE9" s="503" t="s">
        <v>159</v>
      </c>
      <c r="BF9" s="504"/>
      <c r="BG9" s="505"/>
      <c r="BH9" s="503" t="s">
        <v>160</v>
      </c>
      <c r="BI9" s="504"/>
      <c r="BJ9" s="505"/>
      <c r="BK9" s="503" t="s">
        <v>286</v>
      </c>
      <c r="BL9" s="504"/>
      <c r="BM9" s="505"/>
      <c r="BN9" s="503" t="s">
        <v>253</v>
      </c>
      <c r="BO9" s="504"/>
      <c r="BP9" s="505"/>
      <c r="BQ9" s="503" t="s">
        <v>161</v>
      </c>
      <c r="BR9" s="504"/>
      <c r="BS9" s="505"/>
      <c r="BT9" s="503" t="s">
        <v>162</v>
      </c>
      <c r="BU9" s="504"/>
      <c r="BV9" s="505"/>
      <c r="BW9" s="506" t="s">
        <v>163</v>
      </c>
      <c r="BX9" s="507"/>
      <c r="BY9" s="507"/>
      <c r="BZ9" s="512"/>
      <c r="CA9" s="512"/>
      <c r="CB9" s="512"/>
      <c r="CC9" s="503" t="s">
        <v>347</v>
      </c>
      <c r="CD9" s="504"/>
      <c r="CE9" s="505"/>
      <c r="CF9" s="503" t="s">
        <v>348</v>
      </c>
      <c r="CG9" s="504"/>
      <c r="CH9" s="505"/>
      <c r="CI9" s="503" t="s">
        <v>164</v>
      </c>
      <c r="CJ9" s="504"/>
      <c r="CK9" s="505"/>
      <c r="CL9" s="503" t="s">
        <v>165</v>
      </c>
      <c r="CM9" s="504"/>
      <c r="CN9" s="505"/>
      <c r="CO9" s="503" t="s">
        <v>24</v>
      </c>
      <c r="CP9" s="504"/>
      <c r="CQ9" s="505"/>
      <c r="CR9" s="503" t="s">
        <v>303</v>
      </c>
      <c r="CS9" s="504"/>
      <c r="CT9" s="505"/>
      <c r="CU9" s="503" t="s">
        <v>349</v>
      </c>
      <c r="CV9" s="504"/>
      <c r="CW9" s="505"/>
      <c r="CX9" s="506"/>
      <c r="CY9" s="507"/>
      <c r="CZ9" s="508"/>
      <c r="DA9" s="503" t="s">
        <v>271</v>
      </c>
      <c r="DB9" s="504"/>
      <c r="DC9" s="505"/>
      <c r="DD9" s="512" t="s">
        <v>166</v>
      </c>
      <c r="DE9" s="512"/>
      <c r="DF9" s="512"/>
      <c r="DG9" s="506"/>
      <c r="DH9" s="507"/>
      <c r="DI9" s="508"/>
      <c r="DJ9" s="513" t="s">
        <v>167</v>
      </c>
      <c r="DK9" s="514"/>
      <c r="DL9" s="515"/>
      <c r="DM9" s="522" t="s">
        <v>144</v>
      </c>
      <c r="DN9" s="523"/>
      <c r="DO9" s="523"/>
      <c r="DP9" s="523"/>
      <c r="DQ9" s="523"/>
      <c r="DR9" s="523"/>
      <c r="DS9" s="523"/>
      <c r="DT9" s="523"/>
      <c r="DU9" s="523"/>
      <c r="DV9" s="523"/>
      <c r="DW9" s="523"/>
      <c r="DX9" s="524"/>
      <c r="DY9" s="513" t="s">
        <v>168</v>
      </c>
      <c r="DZ9" s="514"/>
      <c r="EA9" s="515"/>
      <c r="EB9" s="513" t="s">
        <v>169</v>
      </c>
      <c r="EC9" s="514"/>
      <c r="ED9" s="515"/>
      <c r="EE9" s="513" t="s">
        <v>170</v>
      </c>
      <c r="EF9" s="514"/>
      <c r="EG9" s="515"/>
      <c r="EH9" s="513" t="s">
        <v>171</v>
      </c>
      <c r="EI9" s="514"/>
      <c r="EJ9" s="515"/>
      <c r="EK9" s="503" t="s">
        <v>297</v>
      </c>
      <c r="EL9" s="504"/>
      <c r="EM9" s="505"/>
      <c r="EN9" s="503" t="s">
        <v>172</v>
      </c>
      <c r="EO9" s="504"/>
      <c r="EP9" s="505"/>
      <c r="EQ9" s="503" t="s">
        <v>329</v>
      </c>
      <c r="ER9" s="504"/>
      <c r="ES9" s="505"/>
      <c r="ET9" s="512" t="s">
        <v>299</v>
      </c>
      <c r="EU9" s="512"/>
      <c r="EV9" s="512"/>
      <c r="EW9" s="506"/>
      <c r="EX9" s="507"/>
      <c r="EY9" s="508"/>
    </row>
    <row r="10" spans="1:159" s="169" customFormat="1" ht="38.25" customHeight="1">
      <c r="A10" s="512"/>
      <c r="B10" s="512"/>
      <c r="C10" s="506"/>
      <c r="D10" s="507"/>
      <c r="E10" s="508"/>
      <c r="F10" s="506"/>
      <c r="G10" s="507"/>
      <c r="H10" s="508"/>
      <c r="I10" s="506"/>
      <c r="J10" s="507"/>
      <c r="K10" s="508"/>
      <c r="L10" s="506"/>
      <c r="M10" s="507"/>
      <c r="N10" s="508"/>
      <c r="O10" s="506"/>
      <c r="P10" s="507"/>
      <c r="Q10" s="508"/>
      <c r="R10" s="506"/>
      <c r="S10" s="507"/>
      <c r="T10" s="508"/>
      <c r="U10" s="506"/>
      <c r="V10" s="507"/>
      <c r="W10" s="508"/>
      <c r="X10" s="506"/>
      <c r="Y10" s="507"/>
      <c r="Z10" s="508"/>
      <c r="AA10" s="506"/>
      <c r="AB10" s="507"/>
      <c r="AC10" s="508"/>
      <c r="AD10" s="506"/>
      <c r="AE10" s="507"/>
      <c r="AF10" s="508"/>
      <c r="AG10" s="512"/>
      <c r="AH10" s="512"/>
      <c r="AI10" s="512"/>
      <c r="AJ10" s="506"/>
      <c r="AK10" s="507"/>
      <c r="AL10" s="508"/>
      <c r="AM10" s="506"/>
      <c r="AN10" s="507"/>
      <c r="AO10" s="508"/>
      <c r="AP10" s="506"/>
      <c r="AQ10" s="507"/>
      <c r="AR10" s="508"/>
      <c r="AS10" s="506"/>
      <c r="AT10" s="507"/>
      <c r="AU10" s="508"/>
      <c r="AV10" s="506"/>
      <c r="AW10" s="507"/>
      <c r="AX10" s="508"/>
      <c r="AY10" s="506"/>
      <c r="AZ10" s="507"/>
      <c r="BA10" s="508"/>
      <c r="BB10" s="506"/>
      <c r="BC10" s="507"/>
      <c r="BD10" s="508"/>
      <c r="BE10" s="506"/>
      <c r="BF10" s="507"/>
      <c r="BG10" s="508"/>
      <c r="BH10" s="506"/>
      <c r="BI10" s="507"/>
      <c r="BJ10" s="508"/>
      <c r="BK10" s="506"/>
      <c r="BL10" s="507"/>
      <c r="BM10" s="508"/>
      <c r="BN10" s="506"/>
      <c r="BO10" s="507"/>
      <c r="BP10" s="508"/>
      <c r="BQ10" s="506"/>
      <c r="BR10" s="507"/>
      <c r="BS10" s="508"/>
      <c r="BT10" s="506"/>
      <c r="BU10" s="507"/>
      <c r="BV10" s="508"/>
      <c r="BW10" s="506"/>
      <c r="BX10" s="507"/>
      <c r="BY10" s="507"/>
      <c r="BZ10" s="512"/>
      <c r="CA10" s="512"/>
      <c r="CB10" s="512"/>
      <c r="CC10" s="506"/>
      <c r="CD10" s="507"/>
      <c r="CE10" s="508"/>
      <c r="CF10" s="506"/>
      <c r="CG10" s="507"/>
      <c r="CH10" s="508"/>
      <c r="CI10" s="506"/>
      <c r="CJ10" s="507"/>
      <c r="CK10" s="508"/>
      <c r="CL10" s="506"/>
      <c r="CM10" s="507"/>
      <c r="CN10" s="508"/>
      <c r="CO10" s="506"/>
      <c r="CP10" s="507"/>
      <c r="CQ10" s="508"/>
      <c r="CR10" s="506"/>
      <c r="CS10" s="507"/>
      <c r="CT10" s="508"/>
      <c r="CU10" s="506"/>
      <c r="CV10" s="507"/>
      <c r="CW10" s="508"/>
      <c r="CX10" s="506"/>
      <c r="CY10" s="507"/>
      <c r="CZ10" s="508"/>
      <c r="DA10" s="506"/>
      <c r="DB10" s="507"/>
      <c r="DC10" s="508"/>
      <c r="DD10" s="512"/>
      <c r="DE10" s="512"/>
      <c r="DF10" s="512"/>
      <c r="DG10" s="506"/>
      <c r="DH10" s="507"/>
      <c r="DI10" s="508"/>
      <c r="DJ10" s="516"/>
      <c r="DK10" s="517"/>
      <c r="DL10" s="518"/>
      <c r="DM10" s="316"/>
      <c r="DN10" s="317"/>
      <c r="DO10" s="317"/>
      <c r="DP10" s="319"/>
      <c r="DQ10" s="319"/>
      <c r="DR10" s="319"/>
      <c r="DS10" s="317"/>
      <c r="DT10" s="317"/>
      <c r="DU10" s="317"/>
      <c r="DV10" s="317"/>
      <c r="DW10" s="317"/>
      <c r="DX10" s="318"/>
      <c r="DY10" s="516"/>
      <c r="DZ10" s="517"/>
      <c r="EA10" s="518"/>
      <c r="EB10" s="516"/>
      <c r="EC10" s="517"/>
      <c r="ED10" s="518"/>
      <c r="EE10" s="516"/>
      <c r="EF10" s="517"/>
      <c r="EG10" s="518"/>
      <c r="EH10" s="516"/>
      <c r="EI10" s="517"/>
      <c r="EJ10" s="518"/>
      <c r="EK10" s="506"/>
      <c r="EL10" s="507"/>
      <c r="EM10" s="508"/>
      <c r="EN10" s="506"/>
      <c r="EO10" s="507"/>
      <c r="EP10" s="508"/>
      <c r="EQ10" s="506"/>
      <c r="ER10" s="507"/>
      <c r="ES10" s="508"/>
      <c r="ET10" s="512"/>
      <c r="EU10" s="512"/>
      <c r="EV10" s="512"/>
      <c r="EW10" s="506"/>
      <c r="EX10" s="507"/>
      <c r="EY10" s="508"/>
    </row>
    <row r="11" spans="1:159" s="169" customFormat="1" ht="177.75" customHeight="1">
      <c r="A11" s="512"/>
      <c r="B11" s="512"/>
      <c r="C11" s="509"/>
      <c r="D11" s="510"/>
      <c r="E11" s="536"/>
      <c r="F11" s="509"/>
      <c r="G11" s="510"/>
      <c r="H11" s="511"/>
      <c r="I11" s="509"/>
      <c r="J11" s="510"/>
      <c r="K11" s="511"/>
      <c r="L11" s="509"/>
      <c r="M11" s="510"/>
      <c r="N11" s="511"/>
      <c r="O11" s="509"/>
      <c r="P11" s="510"/>
      <c r="Q11" s="511"/>
      <c r="R11" s="509"/>
      <c r="S11" s="510"/>
      <c r="T11" s="511"/>
      <c r="U11" s="509"/>
      <c r="V11" s="510"/>
      <c r="W11" s="511"/>
      <c r="X11" s="509"/>
      <c r="Y11" s="510"/>
      <c r="Z11" s="511"/>
      <c r="AA11" s="509"/>
      <c r="AB11" s="510"/>
      <c r="AC11" s="511"/>
      <c r="AD11" s="509"/>
      <c r="AE11" s="510"/>
      <c r="AF11" s="511"/>
      <c r="AG11" s="512"/>
      <c r="AH11" s="512"/>
      <c r="AI11" s="512"/>
      <c r="AJ11" s="509"/>
      <c r="AK11" s="510"/>
      <c r="AL11" s="511"/>
      <c r="AM11" s="509"/>
      <c r="AN11" s="510"/>
      <c r="AO11" s="511"/>
      <c r="AP11" s="509"/>
      <c r="AQ11" s="510"/>
      <c r="AR11" s="511"/>
      <c r="AS11" s="509"/>
      <c r="AT11" s="510"/>
      <c r="AU11" s="511"/>
      <c r="AV11" s="509"/>
      <c r="AW11" s="510"/>
      <c r="AX11" s="511"/>
      <c r="AY11" s="509"/>
      <c r="AZ11" s="510"/>
      <c r="BA11" s="511"/>
      <c r="BB11" s="509"/>
      <c r="BC11" s="510"/>
      <c r="BD11" s="511"/>
      <c r="BE11" s="509"/>
      <c r="BF11" s="510"/>
      <c r="BG11" s="511"/>
      <c r="BH11" s="509"/>
      <c r="BI11" s="510"/>
      <c r="BJ11" s="511"/>
      <c r="BK11" s="509"/>
      <c r="BL11" s="510"/>
      <c r="BM11" s="511"/>
      <c r="BN11" s="509"/>
      <c r="BO11" s="510"/>
      <c r="BP11" s="511"/>
      <c r="BQ11" s="509"/>
      <c r="BR11" s="510"/>
      <c r="BS11" s="511"/>
      <c r="BT11" s="509"/>
      <c r="BU11" s="510"/>
      <c r="BV11" s="511"/>
      <c r="BW11" s="509"/>
      <c r="BX11" s="510"/>
      <c r="BY11" s="510"/>
      <c r="BZ11" s="512"/>
      <c r="CA11" s="512"/>
      <c r="CB11" s="512"/>
      <c r="CC11" s="509"/>
      <c r="CD11" s="510"/>
      <c r="CE11" s="511"/>
      <c r="CF11" s="509"/>
      <c r="CG11" s="510"/>
      <c r="CH11" s="511"/>
      <c r="CI11" s="509"/>
      <c r="CJ11" s="510"/>
      <c r="CK11" s="511"/>
      <c r="CL11" s="509"/>
      <c r="CM11" s="510"/>
      <c r="CN11" s="511"/>
      <c r="CO11" s="509"/>
      <c r="CP11" s="510"/>
      <c r="CQ11" s="511"/>
      <c r="CR11" s="509"/>
      <c r="CS11" s="510"/>
      <c r="CT11" s="511"/>
      <c r="CU11" s="509"/>
      <c r="CV11" s="510"/>
      <c r="CW11" s="511"/>
      <c r="CX11" s="509"/>
      <c r="CY11" s="510"/>
      <c r="CZ11" s="511"/>
      <c r="DA11" s="509"/>
      <c r="DB11" s="510"/>
      <c r="DC11" s="511"/>
      <c r="DD11" s="512"/>
      <c r="DE11" s="512"/>
      <c r="DF11" s="512"/>
      <c r="DG11" s="509"/>
      <c r="DH11" s="510"/>
      <c r="DI11" s="511"/>
      <c r="DJ11" s="519"/>
      <c r="DK11" s="520"/>
      <c r="DL11" s="521"/>
      <c r="DM11" s="519" t="s">
        <v>173</v>
      </c>
      <c r="DN11" s="520"/>
      <c r="DO11" s="521"/>
      <c r="DP11" s="522" t="s">
        <v>174</v>
      </c>
      <c r="DQ11" s="523"/>
      <c r="DR11" s="524"/>
      <c r="DS11" s="519" t="s">
        <v>175</v>
      </c>
      <c r="DT11" s="520"/>
      <c r="DU11" s="521"/>
      <c r="DV11" s="519" t="s">
        <v>250</v>
      </c>
      <c r="DW11" s="520"/>
      <c r="DX11" s="521"/>
      <c r="DY11" s="519"/>
      <c r="DZ11" s="520"/>
      <c r="EA11" s="521"/>
      <c r="EB11" s="519"/>
      <c r="EC11" s="520"/>
      <c r="ED11" s="521"/>
      <c r="EE11" s="519"/>
      <c r="EF11" s="520"/>
      <c r="EG11" s="521"/>
      <c r="EH11" s="519"/>
      <c r="EI11" s="520"/>
      <c r="EJ11" s="521"/>
      <c r="EK11" s="509"/>
      <c r="EL11" s="510"/>
      <c r="EM11" s="511"/>
      <c r="EN11" s="509"/>
      <c r="EO11" s="510"/>
      <c r="EP11" s="511"/>
      <c r="EQ11" s="509"/>
      <c r="ER11" s="510"/>
      <c r="ES11" s="511"/>
      <c r="ET11" s="512"/>
      <c r="EU11" s="512"/>
      <c r="EV11" s="512"/>
      <c r="EW11" s="509"/>
      <c r="EX11" s="510"/>
      <c r="EY11" s="511"/>
      <c r="FA11" s="174"/>
      <c r="FB11" s="174"/>
      <c r="FC11" s="174"/>
    </row>
    <row r="12" spans="1:159" s="169" customFormat="1" ht="42.75" customHeight="1">
      <c r="A12" s="512"/>
      <c r="B12" s="512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83">
        <f>F14+BZ14</f>
        <v>2642.4729600000001</v>
      </c>
      <c r="D14" s="446">
        <f t="shared" ref="D14:D29" si="0">G14+CA14+CY14</f>
        <v>293.19287000000003</v>
      </c>
      <c r="E14" s="184">
        <f t="shared" ref="E14:E29" si="1">D14/C14*100</f>
        <v>11.095397169172925</v>
      </c>
      <c r="F14" s="185">
        <f t="shared" ref="F14:F29" si="2">I14+X14+AA14+AD14+AG14+AM14+AS14+BE14+BQ14+BN14+AJ14+AY14+L14+R14+O14+U14+AP14</f>
        <v>592.81500000000005</v>
      </c>
      <c r="G14" s="185">
        <f t="shared" ref="G14:G29" si="3">J14+Y14+AB14+AE14+AH14+AN14+AT14+BF14+AK14+BR14+BO14+AZ14+M14+S14+P14+V14+AQ14</f>
        <v>78.242870000000011</v>
      </c>
      <c r="H14" s="184">
        <f>G14/F14*100</f>
        <v>13.198530738932046</v>
      </c>
      <c r="I14" s="290">
        <f>Але!C6</f>
        <v>68.849999999999994</v>
      </c>
      <c r="J14" s="292">
        <f>Але!D6</f>
        <v>3.7446799999999998</v>
      </c>
      <c r="K14" s="184">
        <f>J14/I14*100</f>
        <v>5.4388961510530143</v>
      </c>
      <c r="L14" s="184">
        <f>Але!C8</f>
        <v>82.8</v>
      </c>
      <c r="M14" s="184">
        <f>Але!D8</f>
        <v>20.027799999999999</v>
      </c>
      <c r="N14" s="184">
        <f>M14/L14*100</f>
        <v>24.188164251207731</v>
      </c>
      <c r="O14" s="184">
        <f>Але!C9</f>
        <v>0.86499999999999999</v>
      </c>
      <c r="P14" s="184">
        <f>Але!D9</f>
        <v>0.13588</v>
      </c>
      <c r="Q14" s="184">
        <f>P14/O14*100</f>
        <v>15.708670520231212</v>
      </c>
      <c r="R14" s="184">
        <f>Але!C10</f>
        <v>138.30000000000001</v>
      </c>
      <c r="S14" s="184">
        <f>Але!D10</f>
        <v>29.41686</v>
      </c>
      <c r="T14" s="184">
        <f>S14/R14*100</f>
        <v>21.270325379609542</v>
      </c>
      <c r="U14" s="184">
        <f>Але!C11</f>
        <v>0</v>
      </c>
      <c r="V14" s="396">
        <f>Але!D11</f>
        <v>-4.3632099999999996</v>
      </c>
      <c r="W14" s="184" t="e">
        <f>V14/U14*100</f>
        <v>#DIV/0!</v>
      </c>
      <c r="X14" s="186">
        <f>Але!C13</f>
        <v>2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395">
        <f>Але!D15</f>
        <v>9.9561299999999999</v>
      </c>
      <c r="AC14" s="184">
        <f>AB14/AA14*100</f>
        <v>24.890325000000001</v>
      </c>
      <c r="AD14" s="186">
        <f>Але!C16</f>
        <v>200</v>
      </c>
      <c r="AE14" s="186">
        <f>Але!D16</f>
        <v>12.840199999999999</v>
      </c>
      <c r="AF14" s="184">
        <f t="shared" ref="AF14:AF29" si="4">AE14/AD14*100</f>
        <v>6.4200999999999997</v>
      </c>
      <c r="AG14" s="184">
        <f>Але!C18</f>
        <v>5</v>
      </c>
      <c r="AH14" s="184">
        <f>Але!D18</f>
        <v>0.1</v>
      </c>
      <c r="AI14" s="184">
        <f>AH14/AG14*100</f>
        <v>2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55</v>
      </c>
      <c r="AQ14" s="433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227">
        <f>Але!D29</f>
        <v>6.3845299999999998</v>
      </c>
      <c r="BA14" s="184" t="e">
        <f>AZ14/AY14*100</f>
        <v>#DIV/0!</v>
      </c>
      <c r="BB14" s="184">
        <f>Але!C30</f>
        <v>0</v>
      </c>
      <c r="BC14" s="184">
        <f>Але!D30</f>
        <v>6.3845299999999998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2049.65796</v>
      </c>
      <c r="CA14" s="186">
        <f>CD14+CG14+CJ14+CM14+CS14+CP14+CV14</f>
        <v>214.95000000000002</v>
      </c>
      <c r="CB14" s="184">
        <f>CA14/BZ14*100</f>
        <v>10.48711561610992</v>
      </c>
      <c r="CC14" s="187">
        <f>Але!C39</f>
        <v>1200.7</v>
      </c>
      <c r="CD14" s="187">
        <f>Але!D39</f>
        <v>200.11600000000001</v>
      </c>
      <c r="CE14" s="184">
        <f>CD14/CC14*100</f>
        <v>16.666611143499626</v>
      </c>
      <c r="CF14" s="184">
        <f>Але!C40</f>
        <v>110</v>
      </c>
      <c r="CG14" s="184">
        <f>Але!D40</f>
        <v>0</v>
      </c>
      <c r="CH14" s="184">
        <f>CG14/CF14*100</f>
        <v>0</v>
      </c>
      <c r="CI14" s="184">
        <f>Але!C41</f>
        <v>586.99900000000002</v>
      </c>
      <c r="CJ14" s="184">
        <f>Але!D41</f>
        <v>0</v>
      </c>
      <c r="CK14" s="184">
        <f t="shared" ref="CK14:CK29" si="7">CJ14/CI14*100</f>
        <v>0</v>
      </c>
      <c r="CL14" s="184">
        <f>Але!C42</f>
        <v>91.480999999999995</v>
      </c>
      <c r="CM14" s="184">
        <f>Але!D42</f>
        <v>14.834</v>
      </c>
      <c r="CN14" s="184">
        <f t="shared" ref="CN14:CN31" si="8">CM14/CL14*100</f>
        <v>16.215388987877262</v>
      </c>
      <c r="CO14" s="184"/>
      <c r="CP14" s="184"/>
      <c r="CQ14" s="184"/>
      <c r="CR14" s="396">
        <f>Але!C43</f>
        <v>60.477960000000003</v>
      </c>
      <c r="CS14" s="184">
        <f>Але!D43</f>
        <v>0</v>
      </c>
      <c r="CT14" s="184">
        <f t="shared" ref="CT14:CT31" si="9">CS14/CR14*100</f>
        <v>0</v>
      </c>
      <c r="CU14" s="184"/>
      <c r="CV14" s="184">
        <f>Але!D45</f>
        <v>0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8">
        <f>DJ14+DY14+EB14+EE14+EH14+EK14+EN14+EQ14+ET14</f>
        <v>2813.7464599999998</v>
      </c>
      <c r="DH14" s="188">
        <f>DK14+DZ14+EC14+EF14+EI14+EL14+EO14+ER14+EU14</f>
        <v>169.79952</v>
      </c>
      <c r="DI14" s="184">
        <f>DH14/DG14*100</f>
        <v>6.0346417992472574</v>
      </c>
      <c r="DJ14" s="186">
        <f>DM14+DP14+DS14+DV14</f>
        <v>1083.4159999999999</v>
      </c>
      <c r="DK14" s="186">
        <f>DN14+DQ14+DT14+DW14</f>
        <v>97.858270000000005</v>
      </c>
      <c r="DL14" s="184">
        <f>DK14/DJ14*100</f>
        <v>9.0323818367090762</v>
      </c>
      <c r="DM14" s="184">
        <f>Але!C54</f>
        <v>1076.0999999999999</v>
      </c>
      <c r="DN14" s="184">
        <f>Але!D54</f>
        <v>95.542770000000004</v>
      </c>
      <c r="DO14" s="184">
        <f>DN14/DM14*100</f>
        <v>8.8786144410370795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2.3159999999999998</v>
      </c>
      <c r="DW14" s="184">
        <f>Але!D59</f>
        <v>2.3155000000000001</v>
      </c>
      <c r="DX14" s="184">
        <f>DW14/DV14*100</f>
        <v>99.978411053540597</v>
      </c>
      <c r="DY14" s="184">
        <f>Але!C61</f>
        <v>89.944999999999993</v>
      </c>
      <c r="DZ14" s="184">
        <f>Але!D61</f>
        <v>9.3450000000000006</v>
      </c>
      <c r="EA14" s="184">
        <f>DZ14/DY14*100</f>
        <v>10.389682583801212</v>
      </c>
      <c r="EB14" s="184">
        <f>Але!C62</f>
        <v>14</v>
      </c>
      <c r="EC14" s="184">
        <f>Але!D62</f>
        <v>0</v>
      </c>
      <c r="ED14" s="184">
        <f>EC14/EB14*100</f>
        <v>0</v>
      </c>
      <c r="EE14" s="186">
        <f>Але!C68</f>
        <v>1072.23696</v>
      </c>
      <c r="EF14" s="186">
        <f>Але!D68</f>
        <v>0</v>
      </c>
      <c r="EG14" s="184">
        <f>EF14/EE14*100</f>
        <v>0</v>
      </c>
      <c r="EH14" s="186">
        <f>Але!C73</f>
        <v>274.04849999999999</v>
      </c>
      <c r="EI14" s="186">
        <f>Але!D73</f>
        <v>16.596250000000001</v>
      </c>
      <c r="EJ14" s="184">
        <f>EI14/EH14*100</f>
        <v>6.0559535994541118</v>
      </c>
      <c r="EK14" s="186">
        <f>Але!C77</f>
        <v>276.10000000000002</v>
      </c>
      <c r="EL14" s="190">
        <f>Але!D77</f>
        <v>46</v>
      </c>
      <c r="EM14" s="184">
        <f t="shared" ref="EM14:EM29" si="10">EL14/EK14*100</f>
        <v>16.660630206446939</v>
      </c>
      <c r="EN14" s="184">
        <f>Але!C79</f>
        <v>0</v>
      </c>
      <c r="EO14" s="184">
        <f>Але!D79</f>
        <v>0</v>
      </c>
      <c r="EP14" s="184" t="e">
        <f t="shared" ref="EP14:EP29" si="11">EO14/EN14*100</f>
        <v>#DIV/0!</v>
      </c>
      <c r="EQ14" s="185">
        <f>Але!C84</f>
        <v>4</v>
      </c>
      <c r="ER14" s="185">
        <f>Але!D84</f>
        <v>0</v>
      </c>
      <c r="ES14" s="184">
        <f>ER14/EQ14*100</f>
        <v>0</v>
      </c>
      <c r="ET14" s="184">
        <f>Але!C90</f>
        <v>0</v>
      </c>
      <c r="EU14" s="184">
        <f>Але!D90</f>
        <v>0</v>
      </c>
      <c r="EV14" s="184" t="e">
        <f>EU14/ET14*100</f>
        <v>#DIV/0!</v>
      </c>
      <c r="EW14" s="191">
        <f t="shared" ref="EW14:EW29" si="12">SUM(C14-DG14)</f>
        <v>-171.27349999999979</v>
      </c>
      <c r="EX14" s="191">
        <f t="shared" ref="EX14:EX29" si="13">SUM(D14-DH14)</f>
        <v>123.39335000000003</v>
      </c>
      <c r="EY14" s="184">
        <f>EX14/EW14*100%</f>
        <v>-0.72044624533275836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83">
        <f t="shared" ref="C15:C29" si="14">F15+BZ15</f>
        <v>11066.01244</v>
      </c>
      <c r="D15" s="446">
        <f>G15+CA15+CY15</f>
        <v>1187.4323199999999</v>
      </c>
      <c r="E15" s="187">
        <f t="shared" si="1"/>
        <v>10.730444470745597</v>
      </c>
      <c r="F15" s="185">
        <f t="shared" si="2"/>
        <v>3735.44</v>
      </c>
      <c r="G15" s="185">
        <f>J15+Y15+AB15+AE15+AH15+AN15+AT15+BF15+AK15+BR15+BO15+AZ15+M15+S15+P15+V15+AQ15</f>
        <v>328.37631999999996</v>
      </c>
      <c r="H15" s="187">
        <f t="shared" ref="H15:H29" si="15">G15/F15*100</f>
        <v>8.7908337438159894</v>
      </c>
      <c r="I15" s="195">
        <f>Сун!C6</f>
        <v>443.71499999999997</v>
      </c>
      <c r="J15" s="188">
        <f>Сун!D6</f>
        <v>58.231430000000003</v>
      </c>
      <c r="K15" s="187">
        <f t="shared" ref="K15:K29" si="16">J15/I15*100</f>
        <v>13.123610876350813</v>
      </c>
      <c r="L15" s="187">
        <f>Сун!C8</f>
        <v>237.12</v>
      </c>
      <c r="M15" s="187">
        <f>Сун!D8</f>
        <v>57.361170000000001</v>
      </c>
      <c r="N15" s="184">
        <f t="shared" ref="N15:N29" si="17">M15/L15*100</f>
        <v>24.190776821862347</v>
      </c>
      <c r="O15" s="184">
        <f>Сун!C9</f>
        <v>2.5049999999999999</v>
      </c>
      <c r="P15" s="184">
        <f>Сун!D9</f>
        <v>0.38921</v>
      </c>
      <c r="Q15" s="184">
        <f t="shared" ref="Q15:Q29" si="18">P15/O15*100</f>
        <v>15.537325349301398</v>
      </c>
      <c r="R15" s="184">
        <f>Сун!C10</f>
        <v>396.1</v>
      </c>
      <c r="S15" s="184">
        <f>Сун!D10</f>
        <v>84.252160000000003</v>
      </c>
      <c r="T15" s="184">
        <f t="shared" ref="T15:T29" si="19">S15/R15*100</f>
        <v>21.270426659934362</v>
      </c>
      <c r="U15" s="184">
        <f>Сун!C11</f>
        <v>0</v>
      </c>
      <c r="V15" s="396">
        <f>Сун!D11</f>
        <v>-12.49657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3.0156800000000001</v>
      </c>
      <c r="Z15" s="187">
        <f t="shared" ref="Z15:Z29" si="21">Y15/X15*100</f>
        <v>7.5392000000000001</v>
      </c>
      <c r="AA15" s="195">
        <f>Сун!C15</f>
        <v>1098</v>
      </c>
      <c r="AB15" s="395">
        <f>Сун!D15</f>
        <v>4.96014</v>
      </c>
      <c r="AC15" s="187">
        <f t="shared" ref="AC15:AC29" si="22">AB15/AA15*100</f>
        <v>0.45174316939890707</v>
      </c>
      <c r="AD15" s="195">
        <f>Сун!C16</f>
        <v>1285</v>
      </c>
      <c r="AE15" s="195">
        <f>Сун!D16</f>
        <v>94.995099999999994</v>
      </c>
      <c r="AF15" s="187">
        <f t="shared" si="4"/>
        <v>7.3926147859922171</v>
      </c>
      <c r="AG15" s="187">
        <f>Сун!C18</f>
        <v>13</v>
      </c>
      <c r="AH15" s="187">
        <f>Сун!D18</f>
        <v>0.69</v>
      </c>
      <c r="AI15" s="187">
        <f t="shared" ref="AI15:AI31" si="23">AH15/AG15*100</f>
        <v>5.3076923076923066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34">
        <f>Сун!D28</f>
        <v>0</v>
      </c>
      <c r="AR15" s="187">
        <f t="shared" ref="AR15:AR29" si="24">AQ15/AP15*100</f>
        <v>0</v>
      </c>
      <c r="AS15" s="188">
        <f>Сун!C29</f>
        <v>20</v>
      </c>
      <c r="AT15" s="394">
        <f>Сун!D29</f>
        <v>35.673999999999999</v>
      </c>
      <c r="AU15" s="187">
        <f t="shared" ref="AU15:AU29" si="25">AT15/AS15*100</f>
        <v>178.37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492">
        <f>Сун!D31</f>
        <v>1.304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0</v>
      </c>
      <c r="BF15" s="187">
        <f>Сун!D32</f>
        <v>0</v>
      </c>
      <c r="BG15" s="187" t="e">
        <f t="shared" ref="BG15:BG31" si="28">BF15/BE15*100</f>
        <v>#DIV/0!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7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7330.5724400000008</v>
      </c>
      <c r="CA15" s="186">
        <f t="shared" ref="CA15:CA29" si="35">CD15+CG15+CJ15+CM15+CS15+CP15+CV15</f>
        <v>859.05600000000004</v>
      </c>
      <c r="CB15" s="187">
        <f>CA15/BZ15*100</f>
        <v>11.718811962248338</v>
      </c>
      <c r="CC15" s="187">
        <f>Сун!C42</f>
        <v>3003</v>
      </c>
      <c r="CD15" s="187">
        <f>Сун!D42</f>
        <v>500.4</v>
      </c>
      <c r="CE15" s="187">
        <f t="shared" ref="CE15:CE29" si="36">CD15/CC15*100</f>
        <v>16.663336663336661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7">
        <f>Сун!C44</f>
        <v>3815.5949500000002</v>
      </c>
      <c r="CJ15" s="187">
        <f>Сун!D44</f>
        <v>0</v>
      </c>
      <c r="CK15" s="187">
        <f t="shared" si="7"/>
        <v>0</v>
      </c>
      <c r="CL15" s="187">
        <f>Сун!C46</f>
        <v>183.01900000000001</v>
      </c>
      <c r="CM15" s="187">
        <f>Сун!D46</f>
        <v>29.666</v>
      </c>
      <c r="CN15" s="187">
        <f t="shared" si="8"/>
        <v>16.209246034564718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402">
        <f>Сун!C48</f>
        <v>328.95848999999998</v>
      </c>
      <c r="CS15" s="187">
        <f>Сун!D48</f>
        <v>328.99</v>
      </c>
      <c r="CT15" s="187">
        <f t="shared" si="9"/>
        <v>100.00957871614744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88">
        <f>DJ15+DY15+EB15+EE15+EH15+EK15+EN15+EQ15+ET15</f>
        <v>11848.555440000002</v>
      </c>
      <c r="DH15" s="188">
        <f t="shared" ref="DG15:DH29" si="39">DK15+DZ15+EC15+EF15+EI15+EL15+EO15+ER15+EU15</f>
        <v>643.77458000000001</v>
      </c>
      <c r="DI15" s="187">
        <f t="shared" ref="DI15:DI29" si="40">DH15/DG15*100</f>
        <v>5.4333592247596378</v>
      </c>
      <c r="DJ15" s="195">
        <f>DM15+DP15+DS15+DV15</f>
        <v>1757.5429999999999</v>
      </c>
      <c r="DK15" s="195">
        <f t="shared" ref="DJ15:DK29" si="41">DN15+DQ15+DT15+DW15</f>
        <v>179.78972999999999</v>
      </c>
      <c r="DL15" s="187">
        <f t="shared" ref="DL15:DL29" si="42">DK15/DJ15*100</f>
        <v>10.229606331111102</v>
      </c>
      <c r="DM15" s="187">
        <f>Сун!C59</f>
        <v>1746.6</v>
      </c>
      <c r="DN15" s="187">
        <f>Сун!D59</f>
        <v>173.84723</v>
      </c>
      <c r="DO15" s="187">
        <f t="shared" ref="DO15:DO29" si="43">DN15/DM15*100</f>
        <v>9.9534655902897065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5.9429999999999996</v>
      </c>
      <c r="DW15" s="187">
        <f>Сун!D64</f>
        <v>5.9424999999999999</v>
      </c>
      <c r="DX15" s="187">
        <f t="shared" ref="DX15:DX29" si="46">DW15/DV15*100</f>
        <v>99.991586740703355</v>
      </c>
      <c r="DY15" s="187">
        <f>Сун!C66</f>
        <v>179.892</v>
      </c>
      <c r="DZ15" s="187">
        <f>Сун!D66</f>
        <v>18.536999999999999</v>
      </c>
      <c r="EA15" s="187">
        <f t="shared" ref="EA15:EA31" si="47">DZ15/DY15*100</f>
        <v>10.304516042959108</v>
      </c>
      <c r="EB15" s="187">
        <f>Сун!C67</f>
        <v>6</v>
      </c>
      <c r="EC15" s="187">
        <f>Сун!D67</f>
        <v>0</v>
      </c>
      <c r="ED15" s="187">
        <f t="shared" ref="ED15:ED31" si="48">EC15/EB15*100</f>
        <v>0</v>
      </c>
      <c r="EE15" s="195">
        <f>Сун!C73</f>
        <v>3757.6294900000003</v>
      </c>
      <c r="EF15" s="195">
        <f>Сун!D73</f>
        <v>27.551850000000002</v>
      </c>
      <c r="EG15" s="187">
        <f t="shared" ref="EG15:EG29" si="49">EF15/EE15*100</f>
        <v>0.73322423281279914</v>
      </c>
      <c r="EH15" s="195">
        <f>Сун!C78</f>
        <v>3144.89095</v>
      </c>
      <c r="EI15" s="195">
        <f>Сун!D78</f>
        <v>0</v>
      </c>
      <c r="EJ15" s="187">
        <f t="shared" ref="EJ15:EJ29" si="50">EI15/EH15*100</f>
        <v>0</v>
      </c>
      <c r="EK15" s="195">
        <f>Сун!C83</f>
        <v>2982.6</v>
      </c>
      <c r="EL15" s="197">
        <f>Сун!D83</f>
        <v>413.846</v>
      </c>
      <c r="EM15" s="187">
        <f t="shared" si="10"/>
        <v>13.875343659894051</v>
      </c>
      <c r="EN15" s="187">
        <f>Сун!C86</f>
        <v>0</v>
      </c>
      <c r="EO15" s="187">
        <f>Сун!D86</f>
        <v>0</v>
      </c>
      <c r="EP15" s="187" t="e">
        <f t="shared" si="11"/>
        <v>#DIV/0!</v>
      </c>
      <c r="EQ15" s="198">
        <f>Сун!C91</f>
        <v>20</v>
      </c>
      <c r="ER15" s="198">
        <f>Сун!D91</f>
        <v>4.05</v>
      </c>
      <c r="ES15" s="187">
        <f t="shared" ref="ES15:ES29" si="51">ER15/EQ15*100</f>
        <v>20.25</v>
      </c>
      <c r="ET15" s="187">
        <f>Сун!C97</f>
        <v>0</v>
      </c>
      <c r="EU15" s="187">
        <f>Сун!D97</f>
        <v>0</v>
      </c>
      <c r="EV15" s="184" t="e">
        <f>EU15/ET15*100</f>
        <v>#DIV/0!</v>
      </c>
      <c r="EW15" s="191">
        <f t="shared" si="12"/>
        <v>-782.54300000000148</v>
      </c>
      <c r="EX15" s="191">
        <f t="shared" si="13"/>
        <v>543.65773999999988</v>
      </c>
      <c r="EY15" s="184">
        <f>EX15/EW15*100%</f>
        <v>-0.69473209778887401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84">
        <f t="shared" si="14"/>
        <v>7073.1351400000003</v>
      </c>
      <c r="D16" s="446">
        <f t="shared" si="0"/>
        <v>489.73065000000003</v>
      </c>
      <c r="E16" s="187">
        <f t="shared" si="1"/>
        <v>6.9238129953219012</v>
      </c>
      <c r="F16" s="185">
        <f t="shared" si="2"/>
        <v>1991.4749999999999</v>
      </c>
      <c r="G16" s="185">
        <f t="shared" si="3"/>
        <v>166.88065</v>
      </c>
      <c r="H16" s="187">
        <f t="shared" si="15"/>
        <v>8.3797511894450096</v>
      </c>
      <c r="I16" s="291">
        <f>Иль!C6</f>
        <v>100.23</v>
      </c>
      <c r="J16" s="292">
        <f>Иль!D6</f>
        <v>6.27928</v>
      </c>
      <c r="K16" s="187">
        <f t="shared" si="16"/>
        <v>6.2648707971665161</v>
      </c>
      <c r="L16" s="187">
        <f>Иль!C8</f>
        <v>224.26</v>
      </c>
      <c r="M16" s="187">
        <f>Иль!D8</f>
        <v>54.250079999999997</v>
      </c>
      <c r="N16" s="184">
        <f t="shared" si="17"/>
        <v>24.190707214839918</v>
      </c>
      <c r="O16" s="184">
        <f>Иль!C9</f>
        <v>2.4049999999999998</v>
      </c>
      <c r="P16" s="184">
        <f>Иль!D9</f>
        <v>0.36808999999999997</v>
      </c>
      <c r="Q16" s="184">
        <f t="shared" si="18"/>
        <v>15.305197505197505</v>
      </c>
      <c r="R16" s="184">
        <f>Иль!C10</f>
        <v>374.58</v>
      </c>
      <c r="S16" s="184">
        <f>Иль!D10</f>
        <v>79.682550000000006</v>
      </c>
      <c r="T16" s="184">
        <f t="shared" si="19"/>
        <v>21.272505205830534</v>
      </c>
      <c r="U16" s="184">
        <f>Иль!C11</f>
        <v>0</v>
      </c>
      <c r="V16" s="396">
        <f>Иль!D11</f>
        <v>-11.818809999999999</v>
      </c>
      <c r="W16" s="184" t="e">
        <f t="shared" si="20"/>
        <v>#DIV/0!</v>
      </c>
      <c r="X16" s="195">
        <f>Иль!C13</f>
        <v>7</v>
      </c>
      <c r="Y16" s="195">
        <f>Иль!D13</f>
        <v>0</v>
      </c>
      <c r="Z16" s="187">
        <f t="shared" si="21"/>
        <v>0</v>
      </c>
      <c r="AA16" s="195">
        <f>Иль!C15</f>
        <v>248</v>
      </c>
      <c r="AB16" s="395">
        <f>Иль!D15</f>
        <v>5.6575600000000001</v>
      </c>
      <c r="AC16" s="187">
        <f t="shared" si="22"/>
        <v>2.2812741935483873</v>
      </c>
      <c r="AD16" s="195">
        <f>Иль!C16</f>
        <v>810</v>
      </c>
      <c r="AE16" s="195">
        <f>Иль!D16</f>
        <v>24.311599999999999</v>
      </c>
      <c r="AF16" s="187">
        <f t="shared" si="4"/>
        <v>3.0014320987654322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200</v>
      </c>
      <c r="AQ16" s="434">
        <f>Иль!D28</f>
        <v>3.05</v>
      </c>
      <c r="AR16" s="187">
        <f t="shared" si="24"/>
        <v>1.5249999999999999</v>
      </c>
      <c r="AS16" s="188">
        <f>Иль!C29</f>
        <v>20</v>
      </c>
      <c r="AT16" s="394">
        <f>Иль!D29</f>
        <v>5.1002999999999998</v>
      </c>
      <c r="AU16" s="187">
        <f t="shared" si="25"/>
        <v>25.5015</v>
      </c>
      <c r="AV16" s="195"/>
      <c r="AW16" s="195"/>
      <c r="AX16" s="187" t="e">
        <f t="shared" si="26"/>
        <v>#DIV/0!</v>
      </c>
      <c r="AY16" s="187"/>
      <c r="AZ16" s="22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7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5081.6601400000009</v>
      </c>
      <c r="CA16" s="186">
        <f t="shared" si="35"/>
        <v>322.85000000000002</v>
      </c>
      <c r="CB16" s="187">
        <f>CA16/BZ16*100</f>
        <v>6.3532387272164161</v>
      </c>
      <c r="CC16" s="187">
        <f>Иль!C42</f>
        <v>1759.1</v>
      </c>
      <c r="CD16" s="187">
        <f>Иль!D42</f>
        <v>293.18400000000003</v>
      </c>
      <c r="CE16" s="187">
        <f t="shared" si="36"/>
        <v>16.666704564834291</v>
      </c>
      <c r="CF16" s="187">
        <f>Иль!C43</f>
        <v>270</v>
      </c>
      <c r="CG16" s="187">
        <f>Иль!D43</f>
        <v>0</v>
      </c>
      <c r="CH16" s="187">
        <f t="shared" si="37"/>
        <v>0</v>
      </c>
      <c r="CI16" s="184">
        <f>Иль!C44</f>
        <v>2558.4050000000002</v>
      </c>
      <c r="CJ16" s="187">
        <f>Иль!D44</f>
        <v>0</v>
      </c>
      <c r="CK16" s="187">
        <f t="shared" si="7"/>
        <v>0</v>
      </c>
      <c r="CL16" s="187">
        <f>Иль!C46</f>
        <v>181.08199999999999</v>
      </c>
      <c r="CM16" s="187">
        <f>Иль!D46</f>
        <v>29.666</v>
      </c>
      <c r="CN16" s="187">
        <f t="shared" si="8"/>
        <v>16.382633282159464</v>
      </c>
      <c r="CO16" s="187">
        <f>Иль!C47</f>
        <v>41.375279999999997</v>
      </c>
      <c r="CP16" s="187">
        <f>Иль!D47</f>
        <v>0</v>
      </c>
      <c r="CQ16" s="187"/>
      <c r="CR16" s="402">
        <f>Иль!C51</f>
        <v>271.69785999999999</v>
      </c>
      <c r="CS16" s="187">
        <f>Иль!D51</f>
        <v>0</v>
      </c>
      <c r="CT16" s="187">
        <f t="shared" si="9"/>
        <v>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88">
        <f t="shared" si="39"/>
        <v>7498.0677200000009</v>
      </c>
      <c r="DH16" s="188">
        <f t="shared" si="39"/>
        <v>376.19007999999997</v>
      </c>
      <c r="DI16" s="187">
        <f t="shared" si="40"/>
        <v>5.01716034114453</v>
      </c>
      <c r="DJ16" s="195">
        <f t="shared" si="41"/>
        <v>1256.1510000000001</v>
      </c>
      <c r="DK16" s="195">
        <f t="shared" si="41"/>
        <v>105.50108</v>
      </c>
      <c r="DL16" s="187">
        <f t="shared" si="42"/>
        <v>8.3987577926539085</v>
      </c>
      <c r="DM16" s="187">
        <f>Иль!C59</f>
        <v>1247.4000000000001</v>
      </c>
      <c r="DN16" s="187">
        <f>Иль!D59</f>
        <v>101.75008</v>
      </c>
      <c r="DO16" s="187">
        <f t="shared" si="43"/>
        <v>8.1569729036395699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3.7509999999999999</v>
      </c>
      <c r="DW16" s="187">
        <f>Иль!D64</f>
        <v>3.7509999999999999</v>
      </c>
      <c r="DX16" s="187">
        <f t="shared" si="46"/>
        <v>100</v>
      </c>
      <c r="DY16" s="187">
        <f>Иль!C66</f>
        <v>179.892</v>
      </c>
      <c r="DZ16" s="187">
        <f>Иль!D66</f>
        <v>18.689</v>
      </c>
      <c r="EA16" s="187">
        <f t="shared" si="47"/>
        <v>10.389011184488471</v>
      </c>
      <c r="EB16" s="187">
        <f>Иль!C67</f>
        <v>6</v>
      </c>
      <c r="EC16" s="187">
        <f>Иль!D67</f>
        <v>0</v>
      </c>
      <c r="ED16" s="187">
        <f t="shared" si="48"/>
        <v>0</v>
      </c>
      <c r="EE16" s="195">
        <f>Иль!C73</f>
        <v>3927.35572</v>
      </c>
      <c r="EF16" s="195">
        <f>Иль!D73</f>
        <v>0</v>
      </c>
      <c r="EG16" s="187">
        <f t="shared" si="49"/>
        <v>0</v>
      </c>
      <c r="EH16" s="195">
        <f>Иль!C80</f>
        <v>279.56900000000002</v>
      </c>
      <c r="EI16" s="195">
        <f>Иль!D80</f>
        <v>0</v>
      </c>
      <c r="EJ16" s="187">
        <f t="shared" si="50"/>
        <v>0</v>
      </c>
      <c r="EK16" s="195">
        <f>Иль!C84</f>
        <v>1847.1</v>
      </c>
      <c r="EL16" s="197">
        <f>Иль!D84</f>
        <v>252</v>
      </c>
      <c r="EM16" s="187">
        <f t="shared" si="10"/>
        <v>13.643007958421311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2</v>
      </c>
      <c r="ER16" s="198">
        <f>Иль!D91</f>
        <v>0</v>
      </c>
      <c r="ES16" s="187">
        <f t="shared" si="51"/>
        <v>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-424.9325800000006</v>
      </c>
      <c r="EX16" s="191">
        <f t="shared" si="13"/>
        <v>113.54057000000006</v>
      </c>
      <c r="EY16" s="184">
        <f>EX16/EW16*100</f>
        <v>-26.719666917514278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84">
        <f t="shared" si="14"/>
        <v>7603.3463899999988</v>
      </c>
      <c r="D17" s="446">
        <f t="shared" si="0"/>
        <v>568.98876000000007</v>
      </c>
      <c r="E17" s="187">
        <f t="shared" si="1"/>
        <v>7.4833991615631259</v>
      </c>
      <c r="F17" s="185">
        <f t="shared" si="2"/>
        <v>4420.4909999999991</v>
      </c>
      <c r="G17" s="185">
        <f t="shared" si="3"/>
        <v>355.80676000000005</v>
      </c>
      <c r="H17" s="187">
        <f t="shared" si="15"/>
        <v>8.0490325622199013</v>
      </c>
      <c r="I17" s="195">
        <f>Кад!C6</f>
        <v>452.03100000000001</v>
      </c>
      <c r="J17" s="188">
        <f>Кад!D6</f>
        <v>56.014209999999999</v>
      </c>
      <c r="K17" s="187">
        <f t="shared" si="16"/>
        <v>12.391674464804405</v>
      </c>
      <c r="L17" s="187">
        <f>Кад!C8</f>
        <v>266.87</v>
      </c>
      <c r="M17" s="187">
        <f>Кад!D8</f>
        <v>64.555580000000006</v>
      </c>
      <c r="N17" s="184">
        <f t="shared" si="17"/>
        <v>24.189897703001463</v>
      </c>
      <c r="O17" s="184">
        <f>Кад!C9</f>
        <v>2.86</v>
      </c>
      <c r="P17" s="184">
        <f>Кад!D9</f>
        <v>0.43802999999999997</v>
      </c>
      <c r="Q17" s="184">
        <f t="shared" si="18"/>
        <v>15.315734265734266</v>
      </c>
      <c r="R17" s="184">
        <f>Кад!C10</f>
        <v>445.73</v>
      </c>
      <c r="S17" s="184">
        <f>Кад!D10</f>
        <v>94.819379999999995</v>
      </c>
      <c r="T17" s="184">
        <f t="shared" si="19"/>
        <v>21.272828842572856</v>
      </c>
      <c r="U17" s="184">
        <f>Кад!C11</f>
        <v>0</v>
      </c>
      <c r="V17" s="396">
        <f>Кад!D11</f>
        <v>-14.06392</v>
      </c>
      <c r="W17" s="184" t="e">
        <f t="shared" si="20"/>
        <v>#DIV/0!</v>
      </c>
      <c r="X17" s="195">
        <f>Кад!C13</f>
        <v>50</v>
      </c>
      <c r="Y17" s="195">
        <f>Кад!D13</f>
        <v>1.2975000000000001</v>
      </c>
      <c r="Z17" s="187">
        <f t="shared" si="21"/>
        <v>2.5950000000000002</v>
      </c>
      <c r="AA17" s="195">
        <f>Кад!C15</f>
        <v>338</v>
      </c>
      <c r="AB17" s="395">
        <f>Кад!D15</f>
        <v>3.0567199999999999</v>
      </c>
      <c r="AC17" s="187">
        <f t="shared" si="22"/>
        <v>0.90435502958579883</v>
      </c>
      <c r="AD17" s="195">
        <f>Кад!C16</f>
        <v>2800</v>
      </c>
      <c r="AE17" s="195">
        <f>Кад!D16</f>
        <v>142.93088</v>
      </c>
      <c r="AF17" s="187">
        <f t="shared" si="4"/>
        <v>5.1046742857142853</v>
      </c>
      <c r="AG17" s="187">
        <f>Кад!C18</f>
        <v>25</v>
      </c>
      <c r="AH17" s="187">
        <f>Кад!D18</f>
        <v>1.8</v>
      </c>
      <c r="AI17" s="187">
        <f t="shared" si="23"/>
        <v>7.2000000000000011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40</v>
      </c>
      <c r="AQ17" s="434">
        <f>Кад!D27</f>
        <v>4.95838</v>
      </c>
      <c r="AR17" s="187">
        <f t="shared" si="24"/>
        <v>12.395949999999999</v>
      </c>
      <c r="AS17" s="188">
        <f>Кад!C28</f>
        <v>0</v>
      </c>
      <c r="AT17" s="394">
        <f>Кад!D28</f>
        <v>0</v>
      </c>
      <c r="AU17" s="187" t="e">
        <f t="shared" si="25"/>
        <v>#DIV/0!</v>
      </c>
      <c r="AV17" s="195"/>
      <c r="AW17" s="195"/>
      <c r="AX17" s="187" t="e">
        <f t="shared" si="26"/>
        <v>#DIV/0!</v>
      </c>
      <c r="AY17" s="187">
        <f>Кад!C30</f>
        <v>0</v>
      </c>
      <c r="AZ17" s="227">
        <f>Кад!D30</f>
        <v>0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7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0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3182.8553900000002</v>
      </c>
      <c r="CA17" s="186">
        <f t="shared" si="35"/>
        <v>213.18199999999999</v>
      </c>
      <c r="CB17" s="187">
        <f>CA17/BZ17*100</f>
        <v>6.6978223600664428</v>
      </c>
      <c r="CC17" s="187">
        <f>Кад!C41</f>
        <v>1101.0999999999999</v>
      </c>
      <c r="CD17" s="187">
        <f>Кад!D41</f>
        <v>183.51599999999999</v>
      </c>
      <c r="CE17" s="187">
        <f t="shared" si="36"/>
        <v>16.666606121151574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1896.875</v>
      </c>
      <c r="CJ17" s="187">
        <f>Кад!D43</f>
        <v>0</v>
      </c>
      <c r="CK17" s="187">
        <f t="shared" si="7"/>
        <v>0</v>
      </c>
      <c r="CL17" s="187">
        <f>Кад!C45</f>
        <v>182.38900000000001</v>
      </c>
      <c r="CM17" s="187">
        <f>Кад!D45</f>
        <v>29.666</v>
      </c>
      <c r="CN17" s="187">
        <f t="shared" si="8"/>
        <v>16.265235293795129</v>
      </c>
      <c r="CO17" s="187"/>
      <c r="CP17" s="187"/>
      <c r="CQ17" s="187"/>
      <c r="CR17" s="402">
        <f>Кад!C47</f>
        <v>2.49139</v>
      </c>
      <c r="CS17" s="187">
        <f>Кад!D47</f>
        <v>0</v>
      </c>
      <c r="CT17" s="187">
        <f t="shared" si="9"/>
        <v>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88">
        <f t="shared" si="39"/>
        <v>8272.0188899999994</v>
      </c>
      <c r="DH17" s="188">
        <f t="shared" si="39"/>
        <v>718.68399999999997</v>
      </c>
      <c r="DI17" s="187">
        <f t="shared" si="40"/>
        <v>8.6881329643578713</v>
      </c>
      <c r="DJ17" s="195">
        <f t="shared" si="41"/>
        <v>1642.1209999999999</v>
      </c>
      <c r="DK17" s="195">
        <f t="shared" si="41"/>
        <v>151.13004000000001</v>
      </c>
      <c r="DL17" s="187">
        <f t="shared" si="42"/>
        <v>9.203343724366233</v>
      </c>
      <c r="DM17" s="187">
        <f>Кад!C57</f>
        <v>1582.0709999999999</v>
      </c>
      <c r="DN17" s="187">
        <f>Кад!D57</f>
        <v>146.08004</v>
      </c>
      <c r="DO17" s="187">
        <f t="shared" si="43"/>
        <v>9.2334692943616314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55.05</v>
      </c>
      <c r="DW17" s="187">
        <f>Кад!D62</f>
        <v>5.05</v>
      </c>
      <c r="DX17" s="187">
        <f t="shared" si="46"/>
        <v>9.1734786557674841</v>
      </c>
      <c r="DY17" s="187">
        <f>Кад!C64</f>
        <v>179.892</v>
      </c>
      <c r="DZ17" s="187">
        <f>Кад!D64</f>
        <v>18.68656</v>
      </c>
      <c r="EA17" s="187">
        <f t="shared" si="47"/>
        <v>10.38765481511129</v>
      </c>
      <c r="EB17" s="187">
        <f>Кад!C65</f>
        <v>6</v>
      </c>
      <c r="EC17" s="187">
        <f>Кад!D65</f>
        <v>0</v>
      </c>
      <c r="ED17" s="187">
        <f t="shared" si="48"/>
        <v>0</v>
      </c>
      <c r="EE17" s="195">
        <f>Кад!C71</f>
        <v>3327.7488899999998</v>
      </c>
      <c r="EF17" s="195">
        <f>Кад!D71</f>
        <v>35.88644</v>
      </c>
      <c r="EG17" s="187">
        <f t="shared" si="49"/>
        <v>1.0783998789043245</v>
      </c>
      <c r="EH17" s="195">
        <f>Кад!C76</f>
        <v>843.45699999999999</v>
      </c>
      <c r="EI17" s="195">
        <f>Кад!D76</f>
        <v>134.98096000000001</v>
      </c>
      <c r="EJ17" s="187">
        <f t="shared" si="50"/>
        <v>16.003300701754803</v>
      </c>
      <c r="EK17" s="195">
        <f>Кад!C80</f>
        <v>2271.8000000000002</v>
      </c>
      <c r="EL17" s="197">
        <f>Кад!D80</f>
        <v>378</v>
      </c>
      <c r="EM17" s="187">
        <f t="shared" si="10"/>
        <v>16.638788625759311</v>
      </c>
      <c r="EN17" s="187">
        <f>Кад!C82</f>
        <v>0</v>
      </c>
      <c r="EO17" s="187">
        <f>Кад!D82</f>
        <v>0</v>
      </c>
      <c r="EP17" s="187" t="e">
        <f t="shared" si="11"/>
        <v>#DIV/0!</v>
      </c>
      <c r="EQ17" s="198">
        <f>Кад!C87</f>
        <v>1</v>
      </c>
      <c r="ER17" s="198">
        <f>Кад!D87</f>
        <v>0</v>
      </c>
      <c r="ES17" s="187">
        <f t="shared" si="51"/>
        <v>0</v>
      </c>
      <c r="ET17" s="187">
        <f>Кад!C93</f>
        <v>0</v>
      </c>
      <c r="EU17" s="187">
        <f>Кад!D93</f>
        <v>0</v>
      </c>
      <c r="EV17" s="184" t="e">
        <f t="shared" si="52"/>
        <v>#DIV/0!</v>
      </c>
      <c r="EW17" s="191">
        <f t="shared" si="12"/>
        <v>-668.67250000000058</v>
      </c>
      <c r="EX17" s="191">
        <f t="shared" si="13"/>
        <v>-149.6952399999999</v>
      </c>
      <c r="EY17" s="184">
        <f>EX17/EW17*100</f>
        <v>22.38692932638919</v>
      </c>
      <c r="EZ17" s="192"/>
      <c r="FA17" s="193"/>
      <c r="FC17" s="193"/>
    </row>
    <row r="18" spans="1:170" s="234" customFormat="1" ht="15" customHeight="1">
      <c r="A18" s="225">
        <v>5</v>
      </c>
      <c r="B18" s="226" t="s">
        <v>308</v>
      </c>
      <c r="C18" s="485">
        <f t="shared" si="14"/>
        <v>17361.120190000001</v>
      </c>
      <c r="D18" s="447">
        <f t="shared" si="0"/>
        <v>1347.6600699999999</v>
      </c>
      <c r="E18" s="227">
        <f t="shared" si="1"/>
        <v>7.7625179438378158</v>
      </c>
      <c r="F18" s="228">
        <f t="shared" si="2"/>
        <v>4744.2569999999996</v>
      </c>
      <c r="G18" s="228">
        <f t="shared" si="3"/>
        <v>566.41007000000002</v>
      </c>
      <c r="H18" s="227">
        <f t="shared" si="15"/>
        <v>11.938857233071481</v>
      </c>
      <c r="I18" s="292">
        <f>Мор!C6</f>
        <v>1755.837</v>
      </c>
      <c r="J18" s="292">
        <f>Мор!D6</f>
        <v>243.81647000000001</v>
      </c>
      <c r="K18" s="227">
        <f t="shared" si="16"/>
        <v>13.886053773784241</v>
      </c>
      <c r="L18" s="227">
        <f>Мор!C8</f>
        <v>131.83000000000001</v>
      </c>
      <c r="M18" s="227">
        <f>Мор!D8</f>
        <v>31.888919999999999</v>
      </c>
      <c r="N18" s="227">
        <f t="shared" si="17"/>
        <v>24.189425775620112</v>
      </c>
      <c r="O18" s="227">
        <f>Мор!C9</f>
        <v>1.41</v>
      </c>
      <c r="P18" s="227">
        <f>Мор!D9</f>
        <v>0.21636</v>
      </c>
      <c r="Q18" s="227">
        <f t="shared" si="18"/>
        <v>15.34468085106383</v>
      </c>
      <c r="R18" s="227">
        <f>Мор!C10</f>
        <v>220.18</v>
      </c>
      <c r="S18" s="227">
        <f>Мор!D10</f>
        <v>46.838500000000003</v>
      </c>
      <c r="T18" s="227">
        <f t="shared" si="19"/>
        <v>21.272822236352077</v>
      </c>
      <c r="U18" s="227">
        <f>Мор!C11</f>
        <v>0</v>
      </c>
      <c r="V18" s="397">
        <f>Мор!D11</f>
        <v>-6.9472300000000002</v>
      </c>
      <c r="W18" s="227" t="e">
        <f t="shared" si="20"/>
        <v>#DIV/0!</v>
      </c>
      <c r="X18" s="188">
        <f>Мор!C13</f>
        <v>75</v>
      </c>
      <c r="Y18" s="188">
        <f>Мор!D13</f>
        <v>5.5380000000000003</v>
      </c>
      <c r="Z18" s="227">
        <f t="shared" si="21"/>
        <v>7.3840000000000003</v>
      </c>
      <c r="AA18" s="188">
        <f>Мор!C15</f>
        <v>900</v>
      </c>
      <c r="AB18" s="395">
        <f>Мор!D15</f>
        <v>51.655850000000001</v>
      </c>
      <c r="AC18" s="227">
        <f t="shared" si="22"/>
        <v>5.7395388888888892</v>
      </c>
      <c r="AD18" s="188">
        <f>Мор!C16</f>
        <v>1660</v>
      </c>
      <c r="AE18" s="188">
        <f>Мор!D16</f>
        <v>193.4032</v>
      </c>
      <c r="AF18" s="227">
        <f t="shared" si="4"/>
        <v>11.650795180722891</v>
      </c>
      <c r="AG18" s="227">
        <f>Мор!C18</f>
        <v>0</v>
      </c>
      <c r="AH18" s="227">
        <f>Мор!D18</f>
        <v>0</v>
      </c>
      <c r="AI18" s="227" t="e">
        <f t="shared" si="23"/>
        <v>#DIV/0!</v>
      </c>
      <c r="AJ18" s="227">
        <f>Мор!C22</f>
        <v>0</v>
      </c>
      <c r="AK18" s="227">
        <f>Мор!D22</f>
        <v>0</v>
      </c>
      <c r="AL18" s="227" t="e">
        <f t="shared" si="5"/>
        <v>#DIV/0!</v>
      </c>
      <c r="AM18" s="188">
        <v>0</v>
      </c>
      <c r="AN18" s="188"/>
      <c r="AO18" s="227" t="e">
        <f t="shared" si="6"/>
        <v>#DIV/0!</v>
      </c>
      <c r="AP18" s="188">
        <f>Мор!C27</f>
        <v>0</v>
      </c>
      <c r="AQ18" s="434">
        <f>Мор!D27</f>
        <v>0</v>
      </c>
      <c r="AR18" s="227" t="e">
        <f t="shared" si="24"/>
        <v>#DIV/0!</v>
      </c>
      <c r="AS18" s="188">
        <f>Мор!C28</f>
        <v>0</v>
      </c>
      <c r="AT18" s="395">
        <f>Мор!D28</f>
        <v>0</v>
      </c>
      <c r="AU18" s="227" t="e">
        <f t="shared" si="25"/>
        <v>#DIV/0!</v>
      </c>
      <c r="AV18" s="188"/>
      <c r="AW18" s="188"/>
      <c r="AX18" s="227" t="e">
        <f t="shared" si="26"/>
        <v>#DIV/0!</v>
      </c>
      <c r="AY18" s="227">
        <f>Мор!C29</f>
        <v>0</v>
      </c>
      <c r="AZ18" s="227">
        <f>Мор!D29</f>
        <v>0</v>
      </c>
      <c r="BA18" s="227" t="e">
        <f t="shared" si="27"/>
        <v>#DIV/0!</v>
      </c>
      <c r="BB18" s="227"/>
      <c r="BC18" s="227"/>
      <c r="BD18" s="227"/>
      <c r="BE18" s="227">
        <f>Мор!C33</f>
        <v>0</v>
      </c>
      <c r="BF18" s="227">
        <f>Мор!D33</f>
        <v>0</v>
      </c>
      <c r="BG18" s="227" t="e">
        <f>Мор!E33</f>
        <v>#DIV/0!</v>
      </c>
      <c r="BH18" s="227">
        <f>Мор!F33</f>
        <v>0</v>
      </c>
      <c r="BI18" s="227">
        <f>Мор!G33</f>
        <v>0</v>
      </c>
      <c r="BJ18" s="227">
        <f>Мор!H33</f>
        <v>0</v>
      </c>
      <c r="BK18" s="227">
        <f>Мор!I33</f>
        <v>0</v>
      </c>
      <c r="BL18" s="227">
        <f>Мор!J33</f>
        <v>0</v>
      </c>
      <c r="BM18" s="227">
        <f>Мор!K33</f>
        <v>0</v>
      </c>
      <c r="BN18" s="227">
        <f>Мор!C35</f>
        <v>0</v>
      </c>
      <c r="BO18" s="358">
        <f>Мор!D34</f>
        <v>0</v>
      </c>
      <c r="BP18" s="227" t="e">
        <f t="shared" si="30"/>
        <v>#DIV/0!</v>
      </c>
      <c r="BQ18" s="227">
        <f>Мор!C36</f>
        <v>0</v>
      </c>
      <c r="BR18" s="227">
        <f>Мор!D36</f>
        <v>0</v>
      </c>
      <c r="BS18" s="227" t="e">
        <f t="shared" si="31"/>
        <v>#DIV/0!</v>
      </c>
      <c r="BT18" s="227"/>
      <c r="BU18" s="227"/>
      <c r="BV18" s="229" t="e">
        <f t="shared" si="32"/>
        <v>#DIV/0!</v>
      </c>
      <c r="BW18" s="229"/>
      <c r="BX18" s="229"/>
      <c r="BY18" s="229" t="e">
        <f t="shared" si="33"/>
        <v>#DIV/0!</v>
      </c>
      <c r="BZ18" s="188">
        <f t="shared" si="34"/>
        <v>12616.86319</v>
      </c>
      <c r="CA18" s="186">
        <f t="shared" si="35"/>
        <v>781.25</v>
      </c>
      <c r="CB18" s="227">
        <f t="shared" ref="CB18:CB31" si="53">CA18/BZ18*100</f>
        <v>6.1921096253085395</v>
      </c>
      <c r="CC18" s="227">
        <f>Мор!C41</f>
        <v>4687.5</v>
      </c>
      <c r="CD18" s="227">
        <f>Мор!D41</f>
        <v>781.25</v>
      </c>
      <c r="CE18" s="227">
        <f t="shared" si="36"/>
        <v>16.666666666666664</v>
      </c>
      <c r="CF18" s="227">
        <f>Мор!C42</f>
        <v>0</v>
      </c>
      <c r="CG18" s="227">
        <f>Мор!D42</f>
        <v>0</v>
      </c>
      <c r="CH18" s="227" t="e">
        <f t="shared" si="37"/>
        <v>#DIV/0!</v>
      </c>
      <c r="CI18" s="227">
        <f>Мор!C43</f>
        <v>7583.9678999999996</v>
      </c>
      <c r="CJ18" s="227">
        <f>Мор!D43</f>
        <v>0</v>
      </c>
      <c r="CK18" s="227">
        <f t="shared" si="7"/>
        <v>0</v>
      </c>
      <c r="CL18" s="227">
        <f>Мор!C45</f>
        <v>9.2170000000000005</v>
      </c>
      <c r="CM18" s="227">
        <f>Мор!D45</f>
        <v>0</v>
      </c>
      <c r="CN18" s="227">
        <f t="shared" si="8"/>
        <v>0</v>
      </c>
      <c r="CO18" s="227">
        <f>Мор!C46</f>
        <v>0</v>
      </c>
      <c r="CP18" s="227">
        <f>Мор!D46</f>
        <v>0</v>
      </c>
      <c r="CQ18" s="227" t="e">
        <f>CP18/CO18*100</f>
        <v>#DIV/0!</v>
      </c>
      <c r="CR18" s="397">
        <f>Мор!C48</f>
        <v>336.17829</v>
      </c>
      <c r="CS18" s="227">
        <f>Мор!D48</f>
        <v>0</v>
      </c>
      <c r="CT18" s="227">
        <f t="shared" si="9"/>
        <v>0</v>
      </c>
      <c r="CU18" s="227"/>
      <c r="CV18" s="227"/>
      <c r="CW18" s="227"/>
      <c r="CX18" s="188"/>
      <c r="CY18" s="188"/>
      <c r="CZ18" s="227" t="e">
        <f t="shared" si="38"/>
        <v>#DIV/0!</v>
      </c>
      <c r="DA18" s="227"/>
      <c r="DB18" s="227"/>
      <c r="DC18" s="227"/>
      <c r="DD18" s="227"/>
      <c r="DE18" s="227"/>
      <c r="DF18" s="227"/>
      <c r="DG18" s="188">
        <f t="shared" si="39"/>
        <v>17471.358480000003</v>
      </c>
      <c r="DH18" s="188">
        <f t="shared" si="39"/>
        <v>1248.23828</v>
      </c>
      <c r="DI18" s="227">
        <f t="shared" si="40"/>
        <v>7.1444832491354155</v>
      </c>
      <c r="DJ18" s="188">
        <f t="shared" si="41"/>
        <v>1880.018</v>
      </c>
      <c r="DK18" s="188">
        <f t="shared" si="41"/>
        <v>235.75158999999999</v>
      </c>
      <c r="DL18" s="227">
        <f t="shared" si="42"/>
        <v>12.539858129017913</v>
      </c>
      <c r="DM18" s="227">
        <f>Мор!C58</f>
        <v>1705.1</v>
      </c>
      <c r="DN18" s="227">
        <f>Мор!D58</f>
        <v>216.83358999999999</v>
      </c>
      <c r="DO18" s="227">
        <f t="shared" si="43"/>
        <v>12.716766758547884</v>
      </c>
      <c r="DP18" s="227">
        <f>Мор!C61</f>
        <v>0</v>
      </c>
      <c r="DQ18" s="227">
        <f>Мор!D61</f>
        <v>0</v>
      </c>
      <c r="DR18" s="227" t="e">
        <f t="shared" si="44"/>
        <v>#DIV/0!</v>
      </c>
      <c r="DS18" s="227">
        <f>Мор!C62</f>
        <v>5</v>
      </c>
      <c r="DT18" s="227">
        <f>Мор!D62</f>
        <v>0</v>
      </c>
      <c r="DU18" s="227">
        <f t="shared" si="45"/>
        <v>0</v>
      </c>
      <c r="DV18" s="227">
        <f>Мор!C63</f>
        <v>169.91800000000001</v>
      </c>
      <c r="DW18" s="227">
        <f>Мор!D63</f>
        <v>18.917999999999999</v>
      </c>
      <c r="DX18" s="227">
        <f t="shared" si="46"/>
        <v>11.133605621535093</v>
      </c>
      <c r="DY18" s="227">
        <f>Мор!C64</f>
        <v>0</v>
      </c>
      <c r="DZ18" s="227">
        <f>Мор!D64</f>
        <v>0</v>
      </c>
      <c r="EA18" s="227" t="e">
        <f t="shared" si="47"/>
        <v>#DIV/0!</v>
      </c>
      <c r="EB18" s="227">
        <f>Мор!C66</f>
        <v>6</v>
      </c>
      <c r="EC18" s="227">
        <f>Мор!D66</f>
        <v>0</v>
      </c>
      <c r="ED18" s="227">
        <f t="shared" si="48"/>
        <v>0</v>
      </c>
      <c r="EE18" s="188">
        <f>Мор!C72</f>
        <v>2121.67058</v>
      </c>
      <c r="EF18" s="188">
        <f>Мор!D72</f>
        <v>167.88647</v>
      </c>
      <c r="EG18" s="227">
        <f t="shared" si="49"/>
        <v>7.9129376436939607</v>
      </c>
      <c r="EH18" s="188">
        <f>Мор!C77</f>
        <v>9723.6699000000008</v>
      </c>
      <c r="EI18" s="188">
        <f>Мор!D77</f>
        <v>222.10022000000001</v>
      </c>
      <c r="EJ18" s="227">
        <f t="shared" si="50"/>
        <v>2.2841192912153465</v>
      </c>
      <c r="EK18" s="188">
        <f>Мор!C81</f>
        <v>3735</v>
      </c>
      <c r="EL18" s="230">
        <f>Мор!D81</f>
        <v>622.5</v>
      </c>
      <c r="EM18" s="227">
        <f t="shared" si="10"/>
        <v>16.666666666666664</v>
      </c>
      <c r="EN18" s="227">
        <f>Мор!C84</f>
        <v>0</v>
      </c>
      <c r="EO18" s="227">
        <f>Мор!D84</f>
        <v>0</v>
      </c>
      <c r="EP18" s="227" t="e">
        <f t="shared" si="11"/>
        <v>#DIV/0!</v>
      </c>
      <c r="EQ18" s="228">
        <f>Мор!C89</f>
        <v>5</v>
      </c>
      <c r="ER18" s="228">
        <f>Мор!D89</f>
        <v>0</v>
      </c>
      <c r="ES18" s="227">
        <f t="shared" si="51"/>
        <v>0</v>
      </c>
      <c r="ET18" s="227">
        <f>Мор!C95</f>
        <v>0</v>
      </c>
      <c r="EU18" s="227">
        <f>Мор!D95</f>
        <v>0</v>
      </c>
      <c r="EV18" s="227" t="e">
        <f t="shared" si="52"/>
        <v>#DIV/0!</v>
      </c>
      <c r="EW18" s="231">
        <f t="shared" si="12"/>
        <v>-110.23829000000114</v>
      </c>
      <c r="EX18" s="231">
        <f t="shared" si="13"/>
        <v>99.421789999999874</v>
      </c>
      <c r="EY18" s="227">
        <f t="shared" ref="EY18:EY30" si="54">EX18/EW18*100</f>
        <v>-90.188073490616418</v>
      </c>
      <c r="EZ18" s="232"/>
      <c r="FA18" s="233"/>
      <c r="FC18" s="233"/>
    </row>
    <row r="19" spans="1:170" s="406" customFormat="1" ht="15" customHeight="1">
      <c r="A19" s="401">
        <v>6</v>
      </c>
      <c r="B19" s="194" t="s">
        <v>309</v>
      </c>
      <c r="C19" s="484">
        <f t="shared" si="14"/>
        <v>7865.8165100000006</v>
      </c>
      <c r="D19" s="446">
        <f t="shared" si="0"/>
        <v>512.40887000000009</v>
      </c>
      <c r="E19" s="187">
        <f t="shared" si="1"/>
        <v>6.5143760898638101</v>
      </c>
      <c r="F19" s="198">
        <f t="shared" si="2"/>
        <v>4741.1550000000007</v>
      </c>
      <c r="G19" s="198">
        <f t="shared" si="3"/>
        <v>482.7428700000001</v>
      </c>
      <c r="H19" s="187">
        <f t="shared" si="15"/>
        <v>10.181967685089393</v>
      </c>
      <c r="I19" s="195">
        <f>Мос!C6</f>
        <v>1300.26</v>
      </c>
      <c r="J19" s="188">
        <f>Мос!D6</f>
        <v>227.76774</v>
      </c>
      <c r="K19" s="187">
        <f t="shared" si="16"/>
        <v>17.517091966222139</v>
      </c>
      <c r="L19" s="187">
        <f>Мос!C8</f>
        <v>248.38</v>
      </c>
      <c r="M19" s="187">
        <f>Мос!D8</f>
        <v>60.083399999999997</v>
      </c>
      <c r="N19" s="187">
        <f t="shared" si="17"/>
        <v>24.190111925275787</v>
      </c>
      <c r="O19" s="187">
        <f>Мос!C9</f>
        <v>2.665</v>
      </c>
      <c r="P19" s="187">
        <f>Мос!D9</f>
        <v>0.40767999999999999</v>
      </c>
      <c r="Q19" s="187">
        <f t="shared" si="18"/>
        <v>15.297560975609755</v>
      </c>
      <c r="R19" s="187">
        <f>Мос!C10</f>
        <v>414.85</v>
      </c>
      <c r="S19" s="187">
        <f>Мос!D10</f>
        <v>88.250579999999999</v>
      </c>
      <c r="T19" s="187">
        <f t="shared" si="19"/>
        <v>21.272888996022658</v>
      </c>
      <c r="U19" s="187">
        <f>Мос!C11</f>
        <v>0</v>
      </c>
      <c r="V19" s="402">
        <f>Мос!D11</f>
        <v>-13.089639999999999</v>
      </c>
      <c r="W19" s="187" t="e">
        <f t="shared" si="20"/>
        <v>#DIV/0!</v>
      </c>
      <c r="X19" s="195">
        <f>Мос!C13</f>
        <v>30</v>
      </c>
      <c r="Y19" s="195">
        <f>Мос!D13</f>
        <v>0.14399999999999999</v>
      </c>
      <c r="Z19" s="187">
        <f t="shared" si="21"/>
        <v>0.48</v>
      </c>
      <c r="AA19" s="195">
        <f>Мос!C15</f>
        <v>495</v>
      </c>
      <c r="AB19" s="395">
        <f>Мос!D15</f>
        <v>5.0997899999999996</v>
      </c>
      <c r="AC19" s="187">
        <f t="shared" si="22"/>
        <v>1.0302606060606059</v>
      </c>
      <c r="AD19" s="195">
        <f>Мос!C16</f>
        <v>2240</v>
      </c>
      <c r="AE19" s="195">
        <f>Мос!D16</f>
        <v>113.77932</v>
      </c>
      <c r="AF19" s="187">
        <f t="shared" si="4"/>
        <v>5.0794339285714285</v>
      </c>
      <c r="AG19" s="187">
        <f>Мос!C18</f>
        <v>10</v>
      </c>
      <c r="AH19" s="187">
        <f>Мос!D18</f>
        <v>0.3</v>
      </c>
      <c r="AI19" s="187">
        <f t="shared" si="23"/>
        <v>3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34">
        <f>Мос!D27</f>
        <v>0</v>
      </c>
      <c r="AR19" s="187" t="e">
        <f t="shared" si="24"/>
        <v>#DIV/0!</v>
      </c>
      <c r="AS19" s="195">
        <f>Мос!C26</f>
        <v>0</v>
      </c>
      <c r="AT19" s="394">
        <f>Мос!D28</f>
        <v>0</v>
      </c>
      <c r="AU19" s="187" t="e">
        <f t="shared" si="25"/>
        <v>#DIV/0!</v>
      </c>
      <c r="AV19" s="195"/>
      <c r="AW19" s="195"/>
      <c r="AX19" s="187" t="e">
        <f t="shared" si="26"/>
        <v>#DIV/0!</v>
      </c>
      <c r="AY19" s="187">
        <f>Мос!C30</f>
        <v>0</v>
      </c>
      <c r="AZ19" s="22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7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0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3124.6615099999999</v>
      </c>
      <c r="CA19" s="195">
        <f t="shared" si="35"/>
        <v>29.666</v>
      </c>
      <c r="CB19" s="187">
        <f t="shared" si="53"/>
        <v>0.9494148375770789</v>
      </c>
      <c r="CC19" s="187">
        <f>Мос!C41</f>
        <v>0</v>
      </c>
      <c r="CD19" s="187">
        <f>Мос!D41</f>
        <v>0</v>
      </c>
      <c r="CE19" s="187" t="e">
        <f>CD19/CC19*100</f>
        <v>#DIV/0!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2055.51044</v>
      </c>
      <c r="CJ19" s="187">
        <f>Мос!D43</f>
        <v>0</v>
      </c>
      <c r="CK19" s="187">
        <f t="shared" si="7"/>
        <v>0</v>
      </c>
      <c r="CL19" s="187">
        <f>Мос!C45</f>
        <v>181.68199999999999</v>
      </c>
      <c r="CM19" s="187">
        <f>Мос!D45</f>
        <v>29.666</v>
      </c>
      <c r="CN19" s="187">
        <f t="shared" si="8"/>
        <v>16.328530069021699</v>
      </c>
      <c r="CO19" s="187">
        <f>Мос!C48</f>
        <v>0</v>
      </c>
      <c r="CP19" s="187">
        <f>Мос!D46</f>
        <v>0</v>
      </c>
      <c r="CQ19" s="187" t="e">
        <f>CP19/CO19*100</f>
        <v>#DIV/0!</v>
      </c>
      <c r="CR19" s="402">
        <f>Мос!C51</f>
        <v>887.46906999999999</v>
      </c>
      <c r="CS19" s="187">
        <f>Мос!D51</f>
        <v>0</v>
      </c>
      <c r="CT19" s="187">
        <f t="shared" si="9"/>
        <v>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88">
        <f t="shared" si="39"/>
        <v>8641.0121400000007</v>
      </c>
      <c r="DH19" s="188">
        <f t="shared" si="39"/>
        <v>334.38918999999999</v>
      </c>
      <c r="DI19" s="187">
        <f t="shared" si="40"/>
        <v>3.8697919246297916</v>
      </c>
      <c r="DJ19" s="195">
        <f t="shared" si="41"/>
        <v>2124.7999999999997</v>
      </c>
      <c r="DK19" s="195">
        <f t="shared" si="41"/>
        <v>211.98264</v>
      </c>
      <c r="DL19" s="187">
        <f t="shared" si="42"/>
        <v>9.9765926204819291</v>
      </c>
      <c r="DM19" s="187">
        <f>Мос!C59</f>
        <v>2115.3229999999999</v>
      </c>
      <c r="DN19" s="187">
        <f>Мос!D59</f>
        <v>211.98264</v>
      </c>
      <c r="DO19" s="187">
        <f t="shared" si="43"/>
        <v>10.021289420102747</v>
      </c>
      <c r="DP19" s="187">
        <f>Мос!C62</f>
        <v>0</v>
      </c>
      <c r="DQ19" s="187">
        <f>Мос!D62</f>
        <v>0</v>
      </c>
      <c r="DR19" s="187" t="e">
        <f t="shared" si="44"/>
        <v>#DIV/0!</v>
      </c>
      <c r="DS19" s="187">
        <f>Мос!C63</f>
        <v>5</v>
      </c>
      <c r="DT19" s="187">
        <f>Мос!D63</f>
        <v>0</v>
      </c>
      <c r="DU19" s="187">
        <f t="shared" si="45"/>
        <v>0</v>
      </c>
      <c r="DV19" s="187">
        <f>Мос!C64</f>
        <v>4.4770000000000003</v>
      </c>
      <c r="DW19" s="187">
        <f>Мос!D64</f>
        <v>0</v>
      </c>
      <c r="DX19" s="187">
        <f t="shared" si="46"/>
        <v>0</v>
      </c>
      <c r="DY19" s="187">
        <f>Мос!C66</f>
        <v>179.892</v>
      </c>
      <c r="DZ19" s="187">
        <f>Мос!D66</f>
        <v>18.85744</v>
      </c>
      <c r="EA19" s="187">
        <f t="shared" si="47"/>
        <v>10.482645142641141</v>
      </c>
      <c r="EB19" s="187">
        <f>Мос!C67</f>
        <v>9</v>
      </c>
      <c r="EC19" s="187">
        <f>Мос!D67</f>
        <v>0</v>
      </c>
      <c r="ED19" s="187">
        <f t="shared" si="48"/>
        <v>0</v>
      </c>
      <c r="EE19" s="195">
        <f>Мос!C73</f>
        <v>4065.0916399999996</v>
      </c>
      <c r="EF19" s="195">
        <f>Мос!D73</f>
        <v>51.238860000000003</v>
      </c>
      <c r="EG19" s="187">
        <f t="shared" si="49"/>
        <v>1.2604601454937927</v>
      </c>
      <c r="EH19" s="195">
        <f>Мос!C78</f>
        <v>820.52850000000001</v>
      </c>
      <c r="EI19" s="195">
        <f>Мос!D78</f>
        <v>52.310250000000003</v>
      </c>
      <c r="EJ19" s="187">
        <f t="shared" si="50"/>
        <v>6.3751898928556416</v>
      </c>
      <c r="EK19" s="195">
        <f>Мос!C83</f>
        <v>1411.7</v>
      </c>
      <c r="EL19" s="197">
        <f>Мос!D83</f>
        <v>0</v>
      </c>
      <c r="EM19" s="187">
        <f t="shared" si="10"/>
        <v>0</v>
      </c>
      <c r="EN19" s="187">
        <f>Мос!C91</f>
        <v>0</v>
      </c>
      <c r="EO19" s="187">
        <f>Мос!D91</f>
        <v>0</v>
      </c>
      <c r="EP19" s="187" t="e">
        <f t="shared" si="11"/>
        <v>#DIV/0!</v>
      </c>
      <c r="EQ19" s="198">
        <f>Мос!C93</f>
        <v>30</v>
      </c>
      <c r="ER19" s="198">
        <f>Мос!D93</f>
        <v>0</v>
      </c>
      <c r="ES19" s="187">
        <f t="shared" si="51"/>
        <v>0</v>
      </c>
      <c r="ET19" s="187">
        <f>Мос!C99</f>
        <v>0</v>
      </c>
      <c r="EU19" s="187">
        <f>Мос!D99</f>
        <v>0</v>
      </c>
      <c r="EV19" s="187" t="e">
        <f t="shared" si="52"/>
        <v>#DIV/0!</v>
      </c>
      <c r="EW19" s="403">
        <f t="shared" si="12"/>
        <v>-775.19563000000016</v>
      </c>
      <c r="EX19" s="403">
        <f t="shared" si="13"/>
        <v>178.01968000000011</v>
      </c>
      <c r="EY19" s="187">
        <f t="shared" si="54"/>
        <v>-22.964484461812571</v>
      </c>
      <c r="EZ19" s="404"/>
      <c r="FA19" s="405"/>
      <c r="FC19" s="405"/>
    </row>
    <row r="20" spans="1:170" s="169" customFormat="1" ht="15" customHeight="1">
      <c r="A20" s="181">
        <v>7</v>
      </c>
      <c r="B20" s="194" t="s">
        <v>310</v>
      </c>
      <c r="C20" s="483">
        <f t="shared" si="14"/>
        <v>5444.6009999999997</v>
      </c>
      <c r="D20" s="446">
        <f t="shared" si="0"/>
        <v>451.20399999999995</v>
      </c>
      <c r="E20" s="187">
        <f t="shared" si="1"/>
        <v>8.2871821093960776</v>
      </c>
      <c r="F20" s="185">
        <f t="shared" si="2"/>
        <v>2674.6179999999999</v>
      </c>
      <c r="G20" s="185">
        <f t="shared" si="3"/>
        <v>177.78799999999998</v>
      </c>
      <c r="H20" s="187">
        <f t="shared" si="15"/>
        <v>6.6472296230714063</v>
      </c>
      <c r="I20" s="291">
        <f>Ори!C6</f>
        <v>244.083</v>
      </c>
      <c r="J20" s="292">
        <f>Ори!D6</f>
        <v>33.151679999999999</v>
      </c>
      <c r="K20" s="187">
        <f t="shared" si="16"/>
        <v>13.582133946239599</v>
      </c>
      <c r="L20" s="187">
        <f>Ори!C8</f>
        <v>158.35</v>
      </c>
      <c r="M20" s="187">
        <f>Ори!D8</f>
        <v>38.305610000000001</v>
      </c>
      <c r="N20" s="184">
        <f t="shared" si="17"/>
        <v>24.190470476791916</v>
      </c>
      <c r="O20" s="184">
        <f>Ори!C9</f>
        <v>1.6950000000000001</v>
      </c>
      <c r="P20" s="184">
        <f>Ори!D9</f>
        <v>0.25990000000000002</v>
      </c>
      <c r="Q20" s="184">
        <f t="shared" si="18"/>
        <v>15.333333333333336</v>
      </c>
      <c r="R20" s="184">
        <f>Ори!C10</f>
        <v>264.49</v>
      </c>
      <c r="S20" s="184">
        <f>Ори!D10</f>
        <v>56.263300000000001</v>
      </c>
      <c r="T20" s="184">
        <f t="shared" si="19"/>
        <v>21.27237324662558</v>
      </c>
      <c r="U20" s="184">
        <f>Ори!C11</f>
        <v>0</v>
      </c>
      <c r="V20" s="396">
        <f>Ори!D11</f>
        <v>-8.3451599999999999</v>
      </c>
      <c r="W20" s="184" t="e">
        <f t="shared" si="20"/>
        <v>#DIV/0!</v>
      </c>
      <c r="X20" s="195">
        <f>Ори!C13</f>
        <v>40</v>
      </c>
      <c r="Y20" s="195">
        <f>Ори!D13</f>
        <v>1.026</v>
      </c>
      <c r="Z20" s="187">
        <f t="shared" si="21"/>
        <v>2.5649999999999999</v>
      </c>
      <c r="AA20" s="195">
        <f>Ори!C15</f>
        <v>326</v>
      </c>
      <c r="AB20" s="395">
        <f>Ори!D15</f>
        <v>2.4299999999999999E-2</v>
      </c>
      <c r="AC20" s="187">
        <f t="shared" si="22"/>
        <v>7.4539877300613486E-3</v>
      </c>
      <c r="AD20" s="195">
        <f>Ори!C16</f>
        <v>1550</v>
      </c>
      <c r="AE20" s="195">
        <f>Ори!D16</f>
        <v>41.612760000000002</v>
      </c>
      <c r="AF20" s="187">
        <f t="shared" si="4"/>
        <v>2.6846941935483875</v>
      </c>
      <c r="AG20" s="187">
        <f>Ори!C18</f>
        <v>10</v>
      </c>
      <c r="AH20" s="187">
        <f>Ори!D18</f>
        <v>0.3</v>
      </c>
      <c r="AI20" s="187">
        <f t="shared" si="23"/>
        <v>3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50</v>
      </c>
      <c r="AQ20" s="434">
        <f>Ори!D27</f>
        <v>4.6500000000000004</v>
      </c>
      <c r="AR20" s="187">
        <f t="shared" si="24"/>
        <v>9.3000000000000007</v>
      </c>
      <c r="AS20" s="188">
        <f>Ори!C28</f>
        <v>30</v>
      </c>
      <c r="AT20" s="394">
        <f>Ори!D28</f>
        <v>4.5</v>
      </c>
      <c r="AU20" s="187">
        <f t="shared" si="25"/>
        <v>15</v>
      </c>
      <c r="AV20" s="195"/>
      <c r="AW20" s="195"/>
      <c r="AX20" s="187" t="e">
        <f t="shared" si="26"/>
        <v>#DIV/0!</v>
      </c>
      <c r="AY20" s="187">
        <f>Ори!C30</f>
        <v>0</v>
      </c>
      <c r="AZ20" s="227">
        <f>Ори!D30</f>
        <v>10.68961</v>
      </c>
      <c r="BA20" s="187" t="e">
        <f t="shared" si="27"/>
        <v>#DIV/0!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7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-4.6500000000000004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2769.9829999999997</v>
      </c>
      <c r="CA20" s="186">
        <f t="shared" si="35"/>
        <v>273.416</v>
      </c>
      <c r="CB20" s="187">
        <f t="shared" si="53"/>
        <v>9.8706742965570555</v>
      </c>
      <c r="CC20" s="187">
        <f>Ори!C41</f>
        <v>1462.5</v>
      </c>
      <c r="CD20" s="187">
        <f>Ори!D41</f>
        <v>243.75</v>
      </c>
      <c r="CE20" s="187">
        <f t="shared" si="36"/>
        <v>16.666666666666664</v>
      </c>
      <c r="CF20" s="187">
        <f>Ори!C42</f>
        <v>0</v>
      </c>
      <c r="CG20" s="187">
        <f>Ори!D42</f>
        <v>0</v>
      </c>
      <c r="CH20" s="187" t="e">
        <f t="shared" si="37"/>
        <v>#DIV/0!</v>
      </c>
      <c r="CI20" s="187">
        <f>Ори!C43</f>
        <v>1125.08</v>
      </c>
      <c r="CJ20" s="187">
        <f>Ори!D43</f>
        <v>0</v>
      </c>
      <c r="CK20" s="187">
        <f t="shared" si="7"/>
        <v>0</v>
      </c>
      <c r="CL20" s="187">
        <f>Ори!C45</f>
        <v>182.40299999999999</v>
      </c>
      <c r="CM20" s="187">
        <f>Ори!D45</f>
        <v>29.666</v>
      </c>
      <c r="CN20" s="187">
        <f t="shared" si="8"/>
        <v>16.2639868861806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402">
        <f>Ори!C47</f>
        <v>0</v>
      </c>
      <c r="CS20" s="187">
        <f>Ори!D47</f>
        <v>0</v>
      </c>
      <c r="CT20" s="187" t="e">
        <f t="shared" si="9"/>
        <v>#DIV/0!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88">
        <f t="shared" si="39"/>
        <v>5447.0535</v>
      </c>
      <c r="DH20" s="188">
        <f t="shared" si="39"/>
        <v>504.70173</v>
      </c>
      <c r="DI20" s="187">
        <f t="shared" si="40"/>
        <v>9.2655915716634691</v>
      </c>
      <c r="DJ20" s="195">
        <f t="shared" si="41"/>
        <v>1204.2350000000001</v>
      </c>
      <c r="DK20" s="195">
        <f t="shared" si="41"/>
        <v>129.23369</v>
      </c>
      <c r="DL20" s="187">
        <f t="shared" si="42"/>
        <v>10.731600559691421</v>
      </c>
      <c r="DM20" s="187">
        <f>Ори!C58</f>
        <v>1195.0350000000001</v>
      </c>
      <c r="DN20" s="187">
        <f>Ори!D58</f>
        <v>125.19919</v>
      </c>
      <c r="DO20" s="187">
        <f t="shared" si="43"/>
        <v>10.476612818871413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4.2</v>
      </c>
      <c r="DW20" s="187">
        <f>Ори!D63</f>
        <v>4.0345000000000004</v>
      </c>
      <c r="DX20" s="187">
        <f t="shared" si="46"/>
        <v>96.05952380952381</v>
      </c>
      <c r="DY20" s="187">
        <f>Ори!C65</f>
        <v>179.892</v>
      </c>
      <c r="DZ20" s="187">
        <f>Ори!D65</f>
        <v>18.689</v>
      </c>
      <c r="EA20" s="187">
        <f t="shared" si="47"/>
        <v>10.389011184488471</v>
      </c>
      <c r="EB20" s="187">
        <f>Ори!C66</f>
        <v>10</v>
      </c>
      <c r="EC20" s="187">
        <f>Ори!D66</f>
        <v>1.35</v>
      </c>
      <c r="ED20" s="187">
        <f t="shared" si="48"/>
        <v>13.5</v>
      </c>
      <c r="EE20" s="195">
        <f>Ори!C72</f>
        <v>1731.3175000000001</v>
      </c>
      <c r="EF20" s="195">
        <f>Ори!D72</f>
        <v>54.800370000000001</v>
      </c>
      <c r="EG20" s="187">
        <f t="shared" si="49"/>
        <v>3.165240922014593</v>
      </c>
      <c r="EH20" s="195">
        <f>Ори!C77</f>
        <v>720.50900000000001</v>
      </c>
      <c r="EI20" s="195">
        <f>Ори!D77</f>
        <v>39.528669999999998</v>
      </c>
      <c r="EJ20" s="187">
        <f t="shared" si="50"/>
        <v>5.4862146066183763</v>
      </c>
      <c r="EK20" s="195">
        <f>Ори!C82</f>
        <v>1599.1</v>
      </c>
      <c r="EL20" s="197">
        <f>Ори!D82</f>
        <v>261.10000000000002</v>
      </c>
      <c r="EM20" s="187">
        <f t="shared" si="10"/>
        <v>16.327934463135517</v>
      </c>
      <c r="EN20" s="187">
        <f>Ори!C84</f>
        <v>0</v>
      </c>
      <c r="EO20" s="187">
        <f>Ори!D84</f>
        <v>0</v>
      </c>
      <c r="EP20" s="187" t="e">
        <f t="shared" si="11"/>
        <v>#DIV/0!</v>
      </c>
      <c r="EQ20" s="198">
        <f>Ори!C89</f>
        <v>2</v>
      </c>
      <c r="ER20" s="198">
        <f>Ори!D89</f>
        <v>0</v>
      </c>
      <c r="ES20" s="187">
        <f t="shared" si="51"/>
        <v>0</v>
      </c>
      <c r="ET20" s="187">
        <f>Ори!C95</f>
        <v>0</v>
      </c>
      <c r="EU20" s="187">
        <f>Ори!D95</f>
        <v>0</v>
      </c>
      <c r="EV20" s="184" t="e">
        <f t="shared" si="52"/>
        <v>#DIV/0!</v>
      </c>
      <c r="EW20" s="191">
        <f t="shared" si="12"/>
        <v>-2.4525000000003274</v>
      </c>
      <c r="EX20" s="191">
        <f t="shared" si="13"/>
        <v>-53.497730000000047</v>
      </c>
      <c r="EY20" s="184">
        <f t="shared" si="54"/>
        <v>2181.3549439344711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83">
        <f t="shared" si="14"/>
        <v>6572.02</v>
      </c>
      <c r="D21" s="446">
        <f t="shared" si="0"/>
        <v>752.80953999999997</v>
      </c>
      <c r="E21" s="187">
        <f t="shared" si="1"/>
        <v>11.454766418848388</v>
      </c>
      <c r="F21" s="185">
        <f t="shared" si="2"/>
        <v>1917.2080000000001</v>
      </c>
      <c r="G21" s="185">
        <f t="shared" si="3"/>
        <v>246.14354</v>
      </c>
      <c r="H21" s="187">
        <f t="shared" si="15"/>
        <v>12.838645572102767</v>
      </c>
      <c r="I21" s="195">
        <f>Сят!C6</f>
        <v>111.54300000000001</v>
      </c>
      <c r="J21" s="188">
        <f>Сят!D6</f>
        <v>20.542850000000001</v>
      </c>
      <c r="K21" s="187">
        <f t="shared" si="16"/>
        <v>18.416978205714386</v>
      </c>
      <c r="L21" s="187">
        <f>Сят!C8</f>
        <v>195.33</v>
      </c>
      <c r="M21" s="187">
        <f>Сят!D8</f>
        <v>47.250070000000001</v>
      </c>
      <c r="N21" s="184">
        <f t="shared" si="17"/>
        <v>24.18986842778887</v>
      </c>
      <c r="O21" s="184">
        <f>Сят!C9</f>
        <v>2.0950000000000002</v>
      </c>
      <c r="P21" s="184">
        <f>Сят!D9</f>
        <v>0.32058999999999999</v>
      </c>
      <c r="Q21" s="184">
        <f t="shared" si="18"/>
        <v>15.302625298329353</v>
      </c>
      <c r="R21" s="184">
        <f>Сят!C10</f>
        <v>326.24</v>
      </c>
      <c r="S21" s="184">
        <f>Сят!D10</f>
        <v>69.400949999999995</v>
      </c>
      <c r="T21" s="184">
        <f t="shared" si="19"/>
        <v>21.272973884256988</v>
      </c>
      <c r="U21" s="184">
        <f>Сят!C11</f>
        <v>0</v>
      </c>
      <c r="V21" s="396">
        <f>Сят!D11</f>
        <v>-10.293799999999999</v>
      </c>
      <c r="W21" s="184" t="e">
        <f t="shared" si="20"/>
        <v>#DIV/0!</v>
      </c>
      <c r="X21" s="195">
        <f>Сят!C13</f>
        <v>45</v>
      </c>
      <c r="Y21" s="195">
        <f>Сят!D13</f>
        <v>4.3853999999999997</v>
      </c>
      <c r="Z21" s="187">
        <f t="shared" si="21"/>
        <v>9.745333333333333</v>
      </c>
      <c r="AA21" s="195">
        <f>Сят!C15</f>
        <v>138</v>
      </c>
      <c r="AB21" s="395">
        <f>Сят!D15</f>
        <v>1.32443</v>
      </c>
      <c r="AC21" s="187">
        <f t="shared" si="22"/>
        <v>0.95973188405797105</v>
      </c>
      <c r="AD21" s="195">
        <f>Сят!C16</f>
        <v>1000</v>
      </c>
      <c r="AE21" s="195">
        <f>Сят!D16</f>
        <v>111.48408999999999</v>
      </c>
      <c r="AF21" s="187">
        <f t="shared" si="4"/>
        <v>11.148408999999999</v>
      </c>
      <c r="AG21" s="187">
        <f>Сят!C18</f>
        <v>10</v>
      </c>
      <c r="AH21" s="187">
        <f>Сят!D18</f>
        <v>0.6</v>
      </c>
      <c r="AI21" s="187">
        <f t="shared" si="23"/>
        <v>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83</v>
      </c>
      <c r="AQ21" s="434">
        <f>Сят!D27</f>
        <v>0</v>
      </c>
      <c r="AR21" s="187">
        <f t="shared" si="24"/>
        <v>0</v>
      </c>
      <c r="AS21" s="188">
        <f>Сят!C28</f>
        <v>6</v>
      </c>
      <c r="AT21" s="394">
        <f>Сят!D28</f>
        <v>1.12896</v>
      </c>
      <c r="AU21" s="187">
        <f t="shared" si="25"/>
        <v>18.815999999999999</v>
      </c>
      <c r="AV21" s="195"/>
      <c r="AW21" s="195"/>
      <c r="AX21" s="187" t="e">
        <f t="shared" si="26"/>
        <v>#DIV/0!</v>
      </c>
      <c r="AY21" s="187">
        <f>Сят!C30</f>
        <v>0</v>
      </c>
      <c r="AZ21" s="227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0</v>
      </c>
      <c r="BO21" s="357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0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4654.8119999999999</v>
      </c>
      <c r="CA21" s="186">
        <f t="shared" si="35"/>
        <v>506.666</v>
      </c>
      <c r="CB21" s="187">
        <f t="shared" si="53"/>
        <v>10.884779020076428</v>
      </c>
      <c r="CC21" s="187">
        <f>Сят!C41</f>
        <v>2862</v>
      </c>
      <c r="CD21" s="187">
        <f>Сят!D41</f>
        <v>477</v>
      </c>
      <c r="CE21" s="187">
        <f t="shared" si="36"/>
        <v>16.666666666666664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1385.9690000000001</v>
      </c>
      <c r="CJ21" s="187">
        <f>Сят!D43</f>
        <v>0</v>
      </c>
      <c r="CK21" s="187">
        <f t="shared" si="7"/>
        <v>0</v>
      </c>
      <c r="CL21" s="187">
        <f>Сят!C44</f>
        <v>182.04300000000001</v>
      </c>
      <c r="CM21" s="187">
        <f>Сят!D44</f>
        <v>29.666</v>
      </c>
      <c r="CN21" s="187">
        <f t="shared" si="8"/>
        <v>16.296149810758997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402">
        <f>Сят!C49</f>
        <v>224.8</v>
      </c>
      <c r="CS21" s="187">
        <f>Сят!D49</f>
        <v>0</v>
      </c>
      <c r="CT21" s="187">
        <f t="shared" si="9"/>
        <v>0</v>
      </c>
      <c r="CU21" s="187"/>
      <c r="CV21" s="187">
        <f>Сят!D50</f>
        <v>0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88">
        <f t="shared" si="39"/>
        <v>6572.02</v>
      </c>
      <c r="DH21" s="188">
        <f t="shared" si="39"/>
        <v>543.94056</v>
      </c>
      <c r="DI21" s="187">
        <f t="shared" si="40"/>
        <v>8.2766114527953345</v>
      </c>
      <c r="DJ21" s="195">
        <f t="shared" si="41"/>
        <v>1357.5060000000001</v>
      </c>
      <c r="DK21" s="195">
        <f>Сят!D56</f>
        <v>141.98581000000001</v>
      </c>
      <c r="DL21" s="187">
        <f t="shared" si="42"/>
        <v>10.45931362365986</v>
      </c>
      <c r="DM21" s="187">
        <f>Сят!C58</f>
        <v>1348</v>
      </c>
      <c r="DN21" s="187">
        <f>Сят!D58</f>
        <v>137.48031</v>
      </c>
      <c r="DO21" s="187">
        <f t="shared" si="43"/>
        <v>10.198836053412464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5</v>
      </c>
      <c r="DT21" s="187">
        <f>Сят!D62</f>
        <v>0</v>
      </c>
      <c r="DU21" s="187">
        <f t="shared" si="45"/>
        <v>0</v>
      </c>
      <c r="DV21" s="187">
        <f>Сят!C63</f>
        <v>4.5060000000000002</v>
      </c>
      <c r="DW21" s="187">
        <f>Сят!D63</f>
        <v>4.5054999999999996</v>
      </c>
      <c r="DX21" s="187">
        <f t="shared" si="46"/>
        <v>99.988903683976901</v>
      </c>
      <c r="DY21" s="187">
        <f>Сят!C65</f>
        <v>179.892</v>
      </c>
      <c r="DZ21" s="187">
        <f>Сят!D65</f>
        <v>18.68656</v>
      </c>
      <c r="EA21" s="187">
        <f t="shared" si="47"/>
        <v>10.38765481511129</v>
      </c>
      <c r="EB21" s="187">
        <f>Сят!C66</f>
        <v>6</v>
      </c>
      <c r="EC21" s="187">
        <f>Сят!D66</f>
        <v>0</v>
      </c>
      <c r="ED21" s="187">
        <f t="shared" si="48"/>
        <v>0</v>
      </c>
      <c r="EE21" s="195">
        <f>Сят!C72</f>
        <v>2487.2960000000003</v>
      </c>
      <c r="EF21" s="195">
        <f>Сят!D72</f>
        <v>15.072100000000001</v>
      </c>
      <c r="EG21" s="187">
        <f t="shared" si="49"/>
        <v>0.60596326291683822</v>
      </c>
      <c r="EH21" s="195">
        <f>Сят!C77</f>
        <v>492.63799999999998</v>
      </c>
      <c r="EI21" s="195">
        <f>Сят!D77</f>
        <v>9.5</v>
      </c>
      <c r="EJ21" s="187">
        <f t="shared" si="50"/>
        <v>1.928393668373126</v>
      </c>
      <c r="EK21" s="195">
        <f>Сят!C81</f>
        <v>2028.6880000000001</v>
      </c>
      <c r="EL21" s="197">
        <f>Сят!D81</f>
        <v>358.69609000000003</v>
      </c>
      <c r="EM21" s="187">
        <f t="shared" si="10"/>
        <v>17.681185574124754</v>
      </c>
      <c r="EN21" s="187">
        <f>Сят!C83</f>
        <v>0</v>
      </c>
      <c r="EO21" s="187">
        <f>Сят!D83</f>
        <v>0</v>
      </c>
      <c r="EP21" s="187" t="e">
        <f t="shared" si="11"/>
        <v>#DIV/0!</v>
      </c>
      <c r="EQ21" s="198">
        <f>Сят!C88</f>
        <v>20</v>
      </c>
      <c r="ER21" s="198">
        <f>Сят!D88</f>
        <v>0</v>
      </c>
      <c r="ES21" s="187">
        <f t="shared" si="51"/>
        <v>0</v>
      </c>
      <c r="ET21" s="187">
        <f>Сят!C94</f>
        <v>0</v>
      </c>
      <c r="EU21" s="187">
        <f>Сят!D94</f>
        <v>0</v>
      </c>
      <c r="EV21" s="184" t="e">
        <f t="shared" si="52"/>
        <v>#DIV/0!</v>
      </c>
      <c r="EW21" s="191">
        <f t="shared" si="12"/>
        <v>0</v>
      </c>
      <c r="EX21" s="191">
        <f t="shared" si="13"/>
        <v>208.86897999999997</v>
      </c>
      <c r="EY21" s="184" t="e">
        <f t="shared" si="54"/>
        <v>#DIV/0!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4" customFormat="1" ht="15" customHeight="1">
      <c r="A22" s="225">
        <v>9</v>
      </c>
      <c r="B22" s="226" t="s">
        <v>312</v>
      </c>
      <c r="C22" s="485">
        <f>F22+BZ22</f>
        <v>6137.8026099999997</v>
      </c>
      <c r="D22" s="447">
        <f t="shared" si="0"/>
        <v>495.90904</v>
      </c>
      <c r="E22" s="227">
        <f t="shared" si="1"/>
        <v>8.0795859937242263</v>
      </c>
      <c r="F22" s="228">
        <f>I22+X22+AA22+AD22+AG22+AM22+AS22+BE22+BQ22+BN22+AJ22+AY22+L22+R22+O22+U22+AP22</f>
        <v>1839.3039999999999</v>
      </c>
      <c r="G22" s="228">
        <f t="shared" si="3"/>
        <v>228.80904000000001</v>
      </c>
      <c r="H22" s="227">
        <f t="shared" si="15"/>
        <v>12.439979470495363</v>
      </c>
      <c r="I22" s="188">
        <f>Тор!C6</f>
        <v>105.069</v>
      </c>
      <c r="J22" s="188">
        <f>Тор!D6</f>
        <v>15.027509999999999</v>
      </c>
      <c r="K22" s="227">
        <f t="shared" si="16"/>
        <v>14.302515489820975</v>
      </c>
      <c r="L22" s="227">
        <f>Тор!C8</f>
        <v>270.89</v>
      </c>
      <c r="M22" s="227">
        <f>Тор!D8</f>
        <v>65.527839999999998</v>
      </c>
      <c r="N22" s="227">
        <f t="shared" si="17"/>
        <v>24.189833511757541</v>
      </c>
      <c r="O22" s="227">
        <f>Тор!C9</f>
        <v>2.9049999999999998</v>
      </c>
      <c r="P22" s="227">
        <f>Тор!D9</f>
        <v>0.44463999999999998</v>
      </c>
      <c r="Q22" s="227">
        <f t="shared" si="18"/>
        <v>15.306024096385542</v>
      </c>
      <c r="R22" s="227">
        <f>Тор!C10</f>
        <v>452.44</v>
      </c>
      <c r="S22" s="227">
        <f>Тор!D10</f>
        <v>96.247399999999999</v>
      </c>
      <c r="T22" s="227">
        <f t="shared" si="19"/>
        <v>21.272964370966317</v>
      </c>
      <c r="U22" s="227">
        <f>Тор!C11</f>
        <v>0</v>
      </c>
      <c r="V22" s="397">
        <f>Тор!D11</f>
        <v>-14.27576</v>
      </c>
      <c r="W22" s="227" t="e">
        <f t="shared" si="20"/>
        <v>#DIV/0!</v>
      </c>
      <c r="X22" s="188">
        <f>Тор!C13</f>
        <v>25</v>
      </c>
      <c r="Y22" s="188">
        <f>Тор!D13</f>
        <v>0</v>
      </c>
      <c r="Z22" s="227">
        <f t="shared" si="21"/>
        <v>0</v>
      </c>
      <c r="AA22" s="188">
        <f>Тор!C15</f>
        <v>153</v>
      </c>
      <c r="AB22" s="395">
        <f>Тор!D15</f>
        <v>4.7229999999999999</v>
      </c>
      <c r="AC22" s="227">
        <f t="shared" si="22"/>
        <v>3.0869281045751635</v>
      </c>
      <c r="AD22" s="188">
        <f>Тор!C16</f>
        <v>470</v>
      </c>
      <c r="AE22" s="188">
        <f>Тор!D16</f>
        <v>32.803559999999997</v>
      </c>
      <c r="AF22" s="227">
        <f t="shared" si="4"/>
        <v>6.9794808510638298</v>
      </c>
      <c r="AG22" s="227">
        <f>Тор!C18</f>
        <v>10</v>
      </c>
      <c r="AH22" s="227">
        <f>Тор!D18</f>
        <v>2.9</v>
      </c>
      <c r="AI22" s="227">
        <f t="shared" si="23"/>
        <v>28.999999999999996</v>
      </c>
      <c r="AJ22" s="227"/>
      <c r="AK22" s="227">
        <f>Тор!D20</f>
        <v>0</v>
      </c>
      <c r="AL22" s="227" t="e">
        <f t="shared" si="5"/>
        <v>#DIV/0!</v>
      </c>
      <c r="AM22" s="188">
        <v>0</v>
      </c>
      <c r="AN22" s="188">
        <v>0</v>
      </c>
      <c r="AO22" s="227" t="e">
        <f t="shared" si="6"/>
        <v>#DIV/0!</v>
      </c>
      <c r="AP22" s="188">
        <f>Тор!C27</f>
        <v>300</v>
      </c>
      <c r="AQ22" s="435">
        <f>Тор!D27</f>
        <v>16.739999999999998</v>
      </c>
      <c r="AR22" s="227">
        <f t="shared" si="24"/>
        <v>5.5799999999999992</v>
      </c>
      <c r="AS22" s="188">
        <f>Тор!C28</f>
        <v>50</v>
      </c>
      <c r="AT22" s="395">
        <f>Тор!D28</f>
        <v>1.0867</v>
      </c>
      <c r="AU22" s="227">
        <f t="shared" si="25"/>
        <v>2.1734</v>
      </c>
      <c r="AV22" s="188"/>
      <c r="AW22" s="188"/>
      <c r="AX22" s="227" t="e">
        <f t="shared" si="26"/>
        <v>#DIV/0!</v>
      </c>
      <c r="AY22" s="227">
        <f>Тор!C29</f>
        <v>0</v>
      </c>
      <c r="AZ22" s="227">
        <f>Тор!D29</f>
        <v>7.5841500000000002</v>
      </c>
      <c r="BA22" s="227" t="e">
        <f t="shared" si="27"/>
        <v>#DIV/0!</v>
      </c>
      <c r="BB22" s="227"/>
      <c r="BC22" s="227"/>
      <c r="BD22" s="227"/>
      <c r="BE22" s="227">
        <f>Тор!C34+Тор!C33</f>
        <v>0</v>
      </c>
      <c r="BF22" s="227">
        <f>Тор!D32</f>
        <v>0</v>
      </c>
      <c r="BG22" s="227" t="e">
        <f t="shared" si="28"/>
        <v>#DIV/0!</v>
      </c>
      <c r="BH22" s="227"/>
      <c r="BI22" s="227"/>
      <c r="BJ22" s="227" t="e">
        <f t="shared" si="29"/>
        <v>#DIV/0!</v>
      </c>
      <c r="BK22" s="227"/>
      <c r="BL22" s="227"/>
      <c r="BM22" s="227"/>
      <c r="BN22" s="227"/>
      <c r="BO22" s="358">
        <f>Тор!D35</f>
        <v>0</v>
      </c>
      <c r="BP22" s="227" t="e">
        <f t="shared" si="30"/>
        <v>#DIV/0!</v>
      </c>
      <c r="BQ22" s="227">
        <f>Тор!C37</f>
        <v>0</v>
      </c>
      <c r="BR22" s="227">
        <f>Тор!D37</f>
        <v>0</v>
      </c>
      <c r="BS22" s="227" t="e">
        <f t="shared" si="31"/>
        <v>#DIV/0!</v>
      </c>
      <c r="BT22" s="227"/>
      <c r="BU22" s="227"/>
      <c r="BV22" s="229" t="e">
        <f t="shared" si="32"/>
        <v>#DIV/0!</v>
      </c>
      <c r="BW22" s="229"/>
      <c r="BX22" s="229"/>
      <c r="BY22" s="229" t="e">
        <f t="shared" si="33"/>
        <v>#DIV/0!</v>
      </c>
      <c r="BZ22" s="188">
        <f t="shared" si="34"/>
        <v>4298.4986099999996</v>
      </c>
      <c r="CA22" s="186">
        <f t="shared" si="35"/>
        <v>267.10000000000002</v>
      </c>
      <c r="CB22" s="227">
        <f t="shared" si="53"/>
        <v>6.2137975194087609</v>
      </c>
      <c r="CC22" s="227">
        <f>Тор!C42</f>
        <v>1424.6</v>
      </c>
      <c r="CD22" s="227">
        <f>Тор!D42</f>
        <v>237.434</v>
      </c>
      <c r="CE22" s="227">
        <f t="shared" si="36"/>
        <v>16.66671346342833</v>
      </c>
      <c r="CF22" s="227">
        <f>Тор!C43</f>
        <v>260</v>
      </c>
      <c r="CG22" s="227">
        <f>Тор!D43</f>
        <v>0</v>
      </c>
      <c r="CH22" s="227">
        <f t="shared" si="37"/>
        <v>0</v>
      </c>
      <c r="CI22" s="227">
        <f>Тор!C44</f>
        <v>1924.0509999999999</v>
      </c>
      <c r="CJ22" s="227">
        <f>Тор!D44</f>
        <v>0</v>
      </c>
      <c r="CK22" s="227">
        <f t="shared" si="7"/>
        <v>0</v>
      </c>
      <c r="CL22" s="227">
        <f>Тор!C45</f>
        <v>181.68199999999999</v>
      </c>
      <c r="CM22" s="227">
        <f>Тор!D45</f>
        <v>29.666</v>
      </c>
      <c r="CN22" s="227">
        <f t="shared" si="8"/>
        <v>16.328530069021699</v>
      </c>
      <c r="CO22" s="227">
        <f>Тор!C46</f>
        <v>0</v>
      </c>
      <c r="CP22" s="227">
        <f>Тор!D46</f>
        <v>0</v>
      </c>
      <c r="CQ22" s="227"/>
      <c r="CR22" s="397">
        <f>Тор!C48</f>
        <v>508.16561000000002</v>
      </c>
      <c r="CS22" s="227">
        <f>Тор!D48</f>
        <v>0</v>
      </c>
      <c r="CT22" s="227">
        <f t="shared" si="9"/>
        <v>0</v>
      </c>
      <c r="CU22" s="227"/>
      <c r="CV22" s="227">
        <f>Тор!D49</f>
        <v>0</v>
      </c>
      <c r="CW22" s="227"/>
      <c r="CX22" s="188"/>
      <c r="CY22" s="188"/>
      <c r="CZ22" s="227" t="e">
        <f t="shared" si="38"/>
        <v>#DIV/0!</v>
      </c>
      <c r="DA22" s="227"/>
      <c r="DB22" s="227"/>
      <c r="DC22" s="227"/>
      <c r="DD22" s="227"/>
      <c r="DE22" s="227"/>
      <c r="DF22" s="227"/>
      <c r="DG22" s="188">
        <f t="shared" si="39"/>
        <v>6289.8026100000006</v>
      </c>
      <c r="DH22" s="188">
        <f t="shared" si="39"/>
        <v>372.56529</v>
      </c>
      <c r="DI22" s="227">
        <f t="shared" si="40"/>
        <v>5.9233224490648997</v>
      </c>
      <c r="DJ22" s="188">
        <f t="shared" si="41"/>
        <v>1066.4089999999999</v>
      </c>
      <c r="DK22" s="188">
        <f t="shared" si="41"/>
        <v>108.52608000000001</v>
      </c>
      <c r="DL22" s="227">
        <f t="shared" si="42"/>
        <v>10.176778328014862</v>
      </c>
      <c r="DM22" s="227">
        <f>Тор!C58</f>
        <v>1056.2149999999999</v>
      </c>
      <c r="DN22" s="227">
        <f>Тор!D58</f>
        <v>103.33208</v>
      </c>
      <c r="DO22" s="227">
        <f t="shared" si="43"/>
        <v>9.783242995034156</v>
      </c>
      <c r="DP22" s="227">
        <f>Тор!C61</f>
        <v>0</v>
      </c>
      <c r="DQ22" s="227">
        <f>Тор!D61</f>
        <v>0</v>
      </c>
      <c r="DR22" s="227" t="e">
        <f t="shared" si="44"/>
        <v>#DIV/0!</v>
      </c>
      <c r="DS22" s="227">
        <f>Тор!C62</f>
        <v>5</v>
      </c>
      <c r="DT22" s="227">
        <f>Тор!D62</f>
        <v>0</v>
      </c>
      <c r="DU22" s="227">
        <f t="shared" si="45"/>
        <v>0</v>
      </c>
      <c r="DV22" s="227">
        <f>Тор!C63</f>
        <v>5.194</v>
      </c>
      <c r="DW22" s="227">
        <f>Тор!D63</f>
        <v>5.194</v>
      </c>
      <c r="DX22" s="227">
        <f t="shared" si="46"/>
        <v>100</v>
      </c>
      <c r="DY22" s="227">
        <f>Тор!C65</f>
        <v>179.892</v>
      </c>
      <c r="DZ22" s="227">
        <f>+Тор!D64</f>
        <v>19.183409999999999</v>
      </c>
      <c r="EA22" s="227">
        <f t="shared" si="47"/>
        <v>10.66384830898539</v>
      </c>
      <c r="EB22" s="227">
        <f>Тор!C66</f>
        <v>24.2</v>
      </c>
      <c r="EC22" s="227">
        <f>Тор!D66</f>
        <v>0</v>
      </c>
      <c r="ED22" s="227">
        <f t="shared" si="48"/>
        <v>0</v>
      </c>
      <c r="EE22" s="188">
        <f>Тор!C72</f>
        <v>3427.4731099999999</v>
      </c>
      <c r="EF22" s="188">
        <f>Тор!D72</f>
        <v>38.559800000000003</v>
      </c>
      <c r="EG22" s="227">
        <f t="shared" si="49"/>
        <v>1.1250212259141548</v>
      </c>
      <c r="EH22" s="188">
        <f>Тор!C78</f>
        <v>329.7285</v>
      </c>
      <c r="EI22" s="188">
        <f>Тор!D78</f>
        <v>0</v>
      </c>
      <c r="EJ22" s="227">
        <f t="shared" si="50"/>
        <v>0</v>
      </c>
      <c r="EK22" s="188">
        <f>Тор!C82</f>
        <v>1260.0999999999999</v>
      </c>
      <c r="EL22" s="230">
        <f>Тор!D82</f>
        <v>206.29599999999999</v>
      </c>
      <c r="EM22" s="227">
        <f t="shared" si="10"/>
        <v>16.371399095309897</v>
      </c>
      <c r="EN22" s="227">
        <f>Тор!C84</f>
        <v>0</v>
      </c>
      <c r="EO22" s="227">
        <f>Тор!D84</f>
        <v>0</v>
      </c>
      <c r="EP22" s="227" t="e">
        <f t="shared" si="11"/>
        <v>#DIV/0!</v>
      </c>
      <c r="EQ22" s="228">
        <f>Тор!C97</f>
        <v>2</v>
      </c>
      <c r="ER22" s="228">
        <f>Тор!D97</f>
        <v>0</v>
      </c>
      <c r="ES22" s="227">
        <f t="shared" si="51"/>
        <v>0</v>
      </c>
      <c r="ET22" s="227">
        <f>Тор!C95</f>
        <v>0</v>
      </c>
      <c r="EU22" s="227">
        <f>Тор!D95</f>
        <v>0</v>
      </c>
      <c r="EV22" s="227" t="e">
        <f t="shared" si="52"/>
        <v>#DIV/0!</v>
      </c>
      <c r="EW22" s="231">
        <f t="shared" si="12"/>
        <v>-152.00000000000091</v>
      </c>
      <c r="EX22" s="231">
        <f t="shared" si="13"/>
        <v>123.34375</v>
      </c>
      <c r="EY22" s="227">
        <f t="shared" si="54"/>
        <v>-81.147203947367942</v>
      </c>
      <c r="EZ22" s="232"/>
      <c r="FA22" s="233"/>
      <c r="FC22" s="233"/>
      <c r="FF22" s="324"/>
      <c r="FG22" s="324"/>
      <c r="FH22" s="324"/>
      <c r="FI22" s="324"/>
      <c r="FJ22" s="324"/>
      <c r="FK22" s="324"/>
      <c r="FL22" s="324"/>
      <c r="FM22" s="324"/>
      <c r="FN22" s="324"/>
    </row>
    <row r="23" spans="1:170" s="169" customFormat="1" ht="15" customHeight="1">
      <c r="A23" s="181">
        <v>10</v>
      </c>
      <c r="B23" s="194" t="s">
        <v>313</v>
      </c>
      <c r="C23" s="483">
        <f t="shared" si="14"/>
        <v>3374.6460000000002</v>
      </c>
      <c r="D23" s="446">
        <f t="shared" si="0"/>
        <v>353.07637999999997</v>
      </c>
      <c r="E23" s="187">
        <f t="shared" si="1"/>
        <v>10.462619782934269</v>
      </c>
      <c r="F23" s="185">
        <f t="shared" si="2"/>
        <v>1029.2919999999999</v>
      </c>
      <c r="G23" s="185">
        <f t="shared" si="3"/>
        <v>125.67637999999998</v>
      </c>
      <c r="H23" s="187">
        <f t="shared" si="15"/>
        <v>12.209983172899429</v>
      </c>
      <c r="I23" s="195">
        <f>Хор!C6</f>
        <v>79.421999999999997</v>
      </c>
      <c r="J23" s="188">
        <f>Хор!D6</f>
        <v>2.2951899999999998</v>
      </c>
      <c r="K23" s="187">
        <f t="shared" si="16"/>
        <v>2.8898667875399764</v>
      </c>
      <c r="L23" s="187">
        <f>Хор!C8</f>
        <v>123.79</v>
      </c>
      <c r="M23" s="187">
        <f>Хор!D8</f>
        <v>29.944479999999999</v>
      </c>
      <c r="N23" s="184">
        <f t="shared" si="17"/>
        <v>24.189740689878018</v>
      </c>
      <c r="O23" s="184">
        <f>Хор!C9</f>
        <v>1.33</v>
      </c>
      <c r="P23" s="184">
        <f>Хор!D9</f>
        <v>0.20316000000000001</v>
      </c>
      <c r="Q23" s="184">
        <f t="shared" si="18"/>
        <v>15.275187969924811</v>
      </c>
      <c r="R23" s="184">
        <f>Хор!C10</f>
        <v>206.75</v>
      </c>
      <c r="S23" s="184">
        <f>Хор!D10</f>
        <v>43.982500000000002</v>
      </c>
      <c r="T23" s="184">
        <f t="shared" si="19"/>
        <v>21.273276904474002</v>
      </c>
      <c r="U23" s="184">
        <f>Хор!C11</f>
        <v>0</v>
      </c>
      <c r="V23" s="396">
        <f>Хор!D11</f>
        <v>-6.5236299999999998</v>
      </c>
      <c r="W23" s="184" t="e">
        <f t="shared" si="20"/>
        <v>#DIV/0!</v>
      </c>
      <c r="X23" s="195">
        <f>Хор!C13</f>
        <v>5</v>
      </c>
      <c r="Y23" s="195">
        <f>Хор!D13</f>
        <v>1.6605000000000001</v>
      </c>
      <c r="Z23" s="187">
        <f t="shared" si="21"/>
        <v>33.21</v>
      </c>
      <c r="AA23" s="195">
        <f>Хор!C15</f>
        <v>179</v>
      </c>
      <c r="AB23" s="395">
        <f>Хор!D15</f>
        <v>33.9313</v>
      </c>
      <c r="AC23" s="187">
        <f t="shared" si="22"/>
        <v>18.956033519553074</v>
      </c>
      <c r="AD23" s="195">
        <f>Хор!C16</f>
        <v>392</v>
      </c>
      <c r="AE23" s="195">
        <f>Хор!D16</f>
        <v>17.841239999999999</v>
      </c>
      <c r="AF23" s="187">
        <f t="shared" si="4"/>
        <v>4.5513367346938773</v>
      </c>
      <c r="AG23" s="187">
        <f>Хор!C18</f>
        <v>10</v>
      </c>
      <c r="AH23" s="187">
        <f>Хор!D18</f>
        <v>0.6</v>
      </c>
      <c r="AI23" s="187">
        <f t="shared" si="23"/>
        <v>6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32</v>
      </c>
      <c r="AQ23" s="434">
        <f>Хор!D27</f>
        <v>1.7416400000000001</v>
      </c>
      <c r="AR23" s="187">
        <f t="shared" si="24"/>
        <v>5.4426250000000005</v>
      </c>
      <c r="AS23" s="188">
        <f>Хор!C28</f>
        <v>0</v>
      </c>
      <c r="AT23" s="394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22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7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2345.3540000000003</v>
      </c>
      <c r="CA23" s="186">
        <f t="shared" si="35"/>
        <v>227.4</v>
      </c>
      <c r="CB23" s="187">
        <f t="shared" si="53"/>
        <v>9.6957644773454223</v>
      </c>
      <c r="CC23" s="187">
        <f>Хор!C39</f>
        <v>1275.4000000000001</v>
      </c>
      <c r="CD23" s="187">
        <f>Хор!D39</f>
        <v>212.566</v>
      </c>
      <c r="CE23" s="187">
        <f t="shared" si="36"/>
        <v>16.666614395483769</v>
      </c>
      <c r="CF23" s="187">
        <f>Хор!C41</f>
        <v>90</v>
      </c>
      <c r="CG23" s="187">
        <f>Хор!D41</f>
        <v>0</v>
      </c>
      <c r="CH23" s="187">
        <f t="shared" si="37"/>
        <v>0</v>
      </c>
      <c r="CI23" s="187">
        <f>Хор!C42</f>
        <v>880.49800000000005</v>
      </c>
      <c r="CJ23" s="187">
        <f>Хор!D42</f>
        <v>0</v>
      </c>
      <c r="CK23" s="187">
        <f t="shared" si="7"/>
        <v>0</v>
      </c>
      <c r="CL23" s="187">
        <f>Хор!C43</f>
        <v>92.456000000000003</v>
      </c>
      <c r="CM23" s="187">
        <f>Хор!D43</f>
        <v>14.834</v>
      </c>
      <c r="CN23" s="187">
        <f t="shared" si="8"/>
        <v>16.044388682183957</v>
      </c>
      <c r="CO23" s="187">
        <f>Хор!C44</f>
        <v>0</v>
      </c>
      <c r="CP23" s="187">
        <f>Хор!D44</f>
        <v>0</v>
      </c>
      <c r="CQ23" s="187"/>
      <c r="CR23" s="402">
        <f>Хор!C45</f>
        <v>7</v>
      </c>
      <c r="CS23" s="187">
        <f>Хор!D45</f>
        <v>0</v>
      </c>
      <c r="CT23" s="187">
        <f t="shared" si="9"/>
        <v>0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88">
        <f t="shared" si="39"/>
        <v>3586.7901499999998</v>
      </c>
      <c r="DH23" s="188">
        <f t="shared" si="39"/>
        <v>275.0489</v>
      </c>
      <c r="DI23" s="187">
        <f t="shared" si="40"/>
        <v>7.668385617708914</v>
      </c>
      <c r="DJ23" s="195">
        <f t="shared" si="41"/>
        <v>992.09100000000001</v>
      </c>
      <c r="DK23" s="195">
        <f t="shared" si="41"/>
        <v>108.6639</v>
      </c>
      <c r="DL23" s="187">
        <f t="shared" si="42"/>
        <v>10.953017414733123</v>
      </c>
      <c r="DM23" s="187">
        <f>Хор!C56</f>
        <v>984.4</v>
      </c>
      <c r="DN23" s="187">
        <f>Хор!D56</f>
        <v>105.9734</v>
      </c>
      <c r="DO23" s="187">
        <f t="shared" si="43"/>
        <v>10.765278342137343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2.6909999999999998</v>
      </c>
      <c r="DW23" s="187">
        <f>Хор!D61</f>
        <v>2.6905000000000001</v>
      </c>
      <c r="DX23" s="187">
        <f t="shared" si="46"/>
        <v>99.981419546636957</v>
      </c>
      <c r="DY23" s="187">
        <f>Хор!C63</f>
        <v>89.944999999999993</v>
      </c>
      <c r="DZ23" s="187">
        <f>Хор!D63</f>
        <v>9.3450000000000006</v>
      </c>
      <c r="EA23" s="187">
        <f t="shared" si="47"/>
        <v>10.389682583801212</v>
      </c>
      <c r="EB23" s="187">
        <f>Хор!C64</f>
        <v>6</v>
      </c>
      <c r="EC23" s="187">
        <f>Хор!D64</f>
        <v>0</v>
      </c>
      <c r="ED23" s="187">
        <f t="shared" si="48"/>
        <v>0</v>
      </c>
      <c r="EE23" s="195">
        <f>Хор!C70</f>
        <v>1448.0434500000001</v>
      </c>
      <c r="EF23" s="195">
        <f>Хор!D70</f>
        <v>11.04</v>
      </c>
      <c r="EG23" s="187">
        <f t="shared" si="49"/>
        <v>0.76240806171941855</v>
      </c>
      <c r="EH23" s="195">
        <f>Хор!C75</f>
        <v>183.01070000000001</v>
      </c>
      <c r="EI23" s="195">
        <f>Хор!D75</f>
        <v>0</v>
      </c>
      <c r="EJ23" s="187">
        <f t="shared" si="50"/>
        <v>0</v>
      </c>
      <c r="EK23" s="195">
        <f>Хор!C79</f>
        <v>863.7</v>
      </c>
      <c r="EL23" s="197">
        <f>Хор!D79</f>
        <v>144</v>
      </c>
      <c r="EM23" s="187">
        <f t="shared" si="10"/>
        <v>16.67245571378951</v>
      </c>
      <c r="EN23" s="187">
        <f>Хор!C81</f>
        <v>0</v>
      </c>
      <c r="EO23" s="187">
        <f>Хор!D81</f>
        <v>0</v>
      </c>
      <c r="EP23" s="187" t="e">
        <f t="shared" si="11"/>
        <v>#DIV/0!</v>
      </c>
      <c r="EQ23" s="198">
        <f>Хор!C86</f>
        <v>4</v>
      </c>
      <c r="ER23" s="198">
        <f>Хор!D86</f>
        <v>2</v>
      </c>
      <c r="ES23" s="187">
        <f t="shared" si="51"/>
        <v>50</v>
      </c>
      <c r="ET23" s="187">
        <f>Хор!C92</f>
        <v>0</v>
      </c>
      <c r="EU23" s="187">
        <f>Хор!D92</f>
        <v>0</v>
      </c>
      <c r="EV23" s="184" t="e">
        <f t="shared" si="52"/>
        <v>#DIV/0!</v>
      </c>
      <c r="EW23" s="191">
        <f t="shared" si="12"/>
        <v>-212.14414999999963</v>
      </c>
      <c r="EX23" s="191">
        <f t="shared" si="13"/>
        <v>78.027479999999969</v>
      </c>
      <c r="EY23" s="184">
        <f t="shared" si="54"/>
        <v>-36.780406153080399</v>
      </c>
      <c r="EZ23" s="192"/>
      <c r="FA23" s="193"/>
      <c r="FC23" s="193"/>
    </row>
    <row r="24" spans="1:170" s="406" customFormat="1" ht="15" customHeight="1">
      <c r="A24" s="401">
        <v>11</v>
      </c>
      <c r="B24" s="194" t="s">
        <v>314</v>
      </c>
      <c r="C24" s="484">
        <f t="shared" si="14"/>
        <v>4345.6267200000002</v>
      </c>
      <c r="D24" s="446">
        <f t="shared" si="0"/>
        <v>724.0536699999999</v>
      </c>
      <c r="E24" s="187">
        <f t="shared" si="1"/>
        <v>16.661662785431325</v>
      </c>
      <c r="F24" s="198">
        <f t="shared" si="2"/>
        <v>1081.296</v>
      </c>
      <c r="G24" s="198">
        <f t="shared" si="3"/>
        <v>93.462669999999989</v>
      </c>
      <c r="H24" s="187">
        <f t="shared" si="15"/>
        <v>8.6435786315680421</v>
      </c>
      <c r="I24" s="195">
        <f>Чум!C6</f>
        <v>86.510999999999996</v>
      </c>
      <c r="J24" s="188">
        <f>Чум!D6</f>
        <v>13.22367</v>
      </c>
      <c r="K24" s="187">
        <f t="shared" si="16"/>
        <v>15.285535943406042</v>
      </c>
      <c r="L24" s="187">
        <f>Чум!C8</f>
        <v>118.16</v>
      </c>
      <c r="M24" s="187">
        <f>Чум!D8</f>
        <v>28.583359999999999</v>
      </c>
      <c r="N24" s="187">
        <f t="shared" si="17"/>
        <v>24.190385917400135</v>
      </c>
      <c r="O24" s="187">
        <f>Чум!C9</f>
        <v>1.2649999999999999</v>
      </c>
      <c r="P24" s="187">
        <f>Чум!D9</f>
        <v>0.19392999999999999</v>
      </c>
      <c r="Q24" s="187">
        <f t="shared" si="18"/>
        <v>15.330434782608696</v>
      </c>
      <c r="R24" s="187">
        <f>Чум!C10</f>
        <v>197.36</v>
      </c>
      <c r="S24" s="187">
        <f>Чум!D10</f>
        <v>41.983280000000001</v>
      </c>
      <c r="T24" s="187">
        <f t="shared" si="19"/>
        <v>21.272436157276044</v>
      </c>
      <c r="U24" s="187">
        <f>Чум!C11</f>
        <v>0</v>
      </c>
      <c r="V24" s="402">
        <f>Чум!D11</f>
        <v>-6.2270899999999996</v>
      </c>
      <c r="W24" s="187" t="e">
        <f t="shared" si="20"/>
        <v>#DIV/0!</v>
      </c>
      <c r="X24" s="195">
        <f>Чум!C13</f>
        <v>65</v>
      </c>
      <c r="Y24" s="195">
        <f>Чум!D13</f>
        <v>0</v>
      </c>
      <c r="Z24" s="187">
        <f t="shared" si="21"/>
        <v>0</v>
      </c>
      <c r="AA24" s="195">
        <f>Чум!C15</f>
        <v>88</v>
      </c>
      <c r="AB24" s="395">
        <f>Чум!D15</f>
        <v>1.91743</v>
      </c>
      <c r="AC24" s="187">
        <f t="shared" si="22"/>
        <v>2.1788977272727275</v>
      </c>
      <c r="AD24" s="195">
        <f>Чум!C16</f>
        <v>460</v>
      </c>
      <c r="AE24" s="195">
        <f>Чум!D16</f>
        <v>12.838089999999999</v>
      </c>
      <c r="AF24" s="187">
        <f t="shared" si="4"/>
        <v>2.7908891304347825</v>
      </c>
      <c r="AG24" s="187">
        <f>Чум!C18</f>
        <v>10</v>
      </c>
      <c r="AH24" s="187">
        <f>Чум!D18</f>
        <v>0.95</v>
      </c>
      <c r="AI24" s="187">
        <f t="shared" si="23"/>
        <v>9.5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55</v>
      </c>
      <c r="AQ24" s="434">
        <f>Чум!D27</f>
        <v>0</v>
      </c>
      <c r="AR24" s="187">
        <f t="shared" si="24"/>
        <v>0</v>
      </c>
      <c r="AS24" s="195">
        <f>Чум!C28</f>
        <v>0</v>
      </c>
      <c r="AT24" s="394">
        <f>Чум!D28</f>
        <v>0</v>
      </c>
      <c r="AU24" s="187" t="e">
        <f t="shared" si="25"/>
        <v>#DIV/0!</v>
      </c>
      <c r="AV24" s="195"/>
      <c r="AW24" s="195"/>
      <c r="AX24" s="187" t="e">
        <f t="shared" si="26"/>
        <v>#DIV/0!</v>
      </c>
      <c r="AY24" s="187">
        <f>Чум!C30</f>
        <v>0</v>
      </c>
      <c r="AZ24" s="227">
        <f>Чум!D30</f>
        <v>0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7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0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3264.3307199999999</v>
      </c>
      <c r="CA24" s="195">
        <f t="shared" si="35"/>
        <v>630.59099999999989</v>
      </c>
      <c r="CB24" s="187">
        <f t="shared" si="53"/>
        <v>19.317619876456632</v>
      </c>
      <c r="CC24" s="187">
        <f>Чум!C42</f>
        <v>1969.9</v>
      </c>
      <c r="CD24" s="187">
        <f>Чум!D42</f>
        <v>328.31599999999997</v>
      </c>
      <c r="CE24" s="187">
        <f t="shared" si="36"/>
        <v>16.666632824001216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837.01599999999996</v>
      </c>
      <c r="CJ24" s="187">
        <f>Чум!D44</f>
        <v>0</v>
      </c>
      <c r="CK24" s="187">
        <f t="shared" si="7"/>
        <v>0</v>
      </c>
      <c r="CL24" s="187">
        <f>Чум!C45</f>
        <v>92.710999999999999</v>
      </c>
      <c r="CM24" s="187">
        <f>Чум!D45</f>
        <v>14.834</v>
      </c>
      <c r="CN24" s="187">
        <f t="shared" si="8"/>
        <v>16.000258868958376</v>
      </c>
      <c r="CO24" s="187">
        <f>Чум!C46</f>
        <v>35.26285</v>
      </c>
      <c r="CP24" s="187">
        <f>Чум!D46</f>
        <v>0</v>
      </c>
      <c r="CQ24" s="187"/>
      <c r="CR24" s="402">
        <f>Чум!C50</f>
        <v>329.44087000000002</v>
      </c>
      <c r="CS24" s="187">
        <f>Чум!D50</f>
        <v>287.44099999999997</v>
      </c>
      <c r="CT24" s="187">
        <f t="shared" si="9"/>
        <v>87.251165892076472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88">
        <f t="shared" si="39"/>
        <v>4485.7102399999994</v>
      </c>
      <c r="DH24" s="188">
        <f t="shared" si="39"/>
        <v>390.26731000000001</v>
      </c>
      <c r="DI24" s="187">
        <f t="shared" si="40"/>
        <v>8.7002345028866621</v>
      </c>
      <c r="DJ24" s="195">
        <f t="shared" si="41"/>
        <v>1288.2380000000001</v>
      </c>
      <c r="DK24" s="195">
        <f t="shared" si="41"/>
        <v>159.27803</v>
      </c>
      <c r="DL24" s="187">
        <f t="shared" si="42"/>
        <v>12.364022020775664</v>
      </c>
      <c r="DM24" s="187">
        <f>Чум!C58</f>
        <v>1280</v>
      </c>
      <c r="DN24" s="187">
        <f>Чум!D58</f>
        <v>156.04003</v>
      </c>
      <c r="DO24" s="187">
        <f t="shared" si="43"/>
        <v>12.19062734375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3.238</v>
      </c>
      <c r="DW24" s="187">
        <f>Чум!D63</f>
        <v>3.238</v>
      </c>
      <c r="DX24" s="187">
        <f t="shared" si="46"/>
        <v>100</v>
      </c>
      <c r="DY24" s="187">
        <f>Чум!C65</f>
        <v>89.945999999999998</v>
      </c>
      <c r="DZ24" s="187">
        <f>Чум!D65</f>
        <v>9.5892800000000005</v>
      </c>
      <c r="EA24" s="187">
        <f t="shared" si="47"/>
        <v>10.661152246903699</v>
      </c>
      <c r="EB24" s="187">
        <f>Чум!C66</f>
        <v>6</v>
      </c>
      <c r="EC24" s="187">
        <f>Чум!D66</f>
        <v>0</v>
      </c>
      <c r="ED24" s="187">
        <f t="shared" si="48"/>
        <v>0</v>
      </c>
      <c r="EE24" s="195">
        <f>Чум!C72</f>
        <v>1667.7382400000001</v>
      </c>
      <c r="EF24" s="195">
        <f>Чум!D72</f>
        <v>18.8</v>
      </c>
      <c r="EG24" s="187">
        <f t="shared" si="49"/>
        <v>1.1272752251576363</v>
      </c>
      <c r="EH24" s="195">
        <f>Чум!C77</f>
        <v>475.38799999999998</v>
      </c>
      <c r="EI24" s="195">
        <f>Чум!D77</f>
        <v>42</v>
      </c>
      <c r="EJ24" s="187">
        <f t="shared" si="50"/>
        <v>8.8348885541915241</v>
      </c>
      <c r="EK24" s="195">
        <f>Чум!C81</f>
        <v>957.4</v>
      </c>
      <c r="EL24" s="197">
        <f>Чум!D81</f>
        <v>159.6</v>
      </c>
      <c r="EM24" s="187">
        <f t="shared" si="10"/>
        <v>16.67014831836223</v>
      </c>
      <c r="EN24" s="187">
        <f>Чум!C83</f>
        <v>0</v>
      </c>
      <c r="EO24" s="187">
        <f>Чум!D83</f>
        <v>0</v>
      </c>
      <c r="EP24" s="187" t="e">
        <f t="shared" si="11"/>
        <v>#DIV/0!</v>
      </c>
      <c r="EQ24" s="198">
        <f>Чум!C88</f>
        <v>1</v>
      </c>
      <c r="ER24" s="198">
        <f>Чум!D88</f>
        <v>1</v>
      </c>
      <c r="ES24" s="187">
        <f t="shared" si="51"/>
        <v>100</v>
      </c>
      <c r="ET24" s="187">
        <f>Чум!C94</f>
        <v>0</v>
      </c>
      <c r="EU24" s="187">
        <f>Чум!D94</f>
        <v>0</v>
      </c>
      <c r="EV24" s="187" t="e">
        <f t="shared" si="52"/>
        <v>#DIV/0!</v>
      </c>
      <c r="EW24" s="403">
        <f t="shared" si="12"/>
        <v>-140.08351999999923</v>
      </c>
      <c r="EX24" s="403">
        <f t="shared" si="13"/>
        <v>333.78635999999989</v>
      </c>
      <c r="EY24" s="187">
        <f t="shared" si="54"/>
        <v>-238.27667951233789</v>
      </c>
      <c r="EZ24" s="404"/>
      <c r="FA24" s="405"/>
      <c r="FC24" s="405"/>
    </row>
    <row r="25" spans="1:170" s="234" customFormat="1" ht="15" customHeight="1">
      <c r="A25" s="225">
        <v>12</v>
      </c>
      <c r="B25" s="226" t="s">
        <v>315</v>
      </c>
      <c r="C25" s="485">
        <f t="shared" si="14"/>
        <v>3539.8507799999998</v>
      </c>
      <c r="D25" s="447">
        <f t="shared" si="0"/>
        <v>344.49045999999998</v>
      </c>
      <c r="E25" s="227">
        <f t="shared" si="1"/>
        <v>9.7317791457864793</v>
      </c>
      <c r="F25" s="228">
        <f t="shared" si="2"/>
        <v>833.452</v>
      </c>
      <c r="G25" s="228">
        <f t="shared" si="3"/>
        <v>105.00646</v>
      </c>
      <c r="H25" s="227">
        <f t="shared" si="15"/>
        <v>12.598981105090637</v>
      </c>
      <c r="I25" s="188">
        <f>Шать!C6</f>
        <v>37.046999999999997</v>
      </c>
      <c r="J25" s="188">
        <f>Шать!D6</f>
        <v>4.4903399999999998</v>
      </c>
      <c r="K25" s="227">
        <f t="shared" si="16"/>
        <v>12.120657543120901</v>
      </c>
      <c r="L25" s="227">
        <f>Шать!C8</f>
        <v>121.37</v>
      </c>
      <c r="M25" s="227">
        <f>Шать!D8</f>
        <v>29.361139999999999</v>
      </c>
      <c r="N25" s="227">
        <f t="shared" si="17"/>
        <v>24.191431160912909</v>
      </c>
      <c r="O25" s="227">
        <f>Шать!C9</f>
        <v>1.3049999999999999</v>
      </c>
      <c r="P25" s="227">
        <f>Шать!D9</f>
        <v>0.19922999999999999</v>
      </c>
      <c r="Q25" s="227">
        <f t="shared" si="18"/>
        <v>15.266666666666667</v>
      </c>
      <c r="R25" s="227">
        <f>Шать!C10</f>
        <v>202.73</v>
      </c>
      <c r="S25" s="227">
        <f>Шать!D10</f>
        <v>43.125689999999999</v>
      </c>
      <c r="T25" s="227">
        <f t="shared" si="19"/>
        <v>21.272475706604844</v>
      </c>
      <c r="U25" s="227">
        <f>Шать!C11</f>
        <v>0</v>
      </c>
      <c r="V25" s="397">
        <f>Шать!D11</f>
        <v>-6.3965699999999996</v>
      </c>
      <c r="W25" s="227" t="e">
        <f t="shared" si="20"/>
        <v>#DIV/0!</v>
      </c>
      <c r="X25" s="188">
        <f>Шать!C13</f>
        <v>10</v>
      </c>
      <c r="Y25" s="188">
        <f>Шать!D13</f>
        <v>0.36059000000000002</v>
      </c>
      <c r="Z25" s="227">
        <f t="shared" si="21"/>
        <v>3.6059000000000001</v>
      </c>
      <c r="AA25" s="188">
        <f>Шать!C15</f>
        <v>42</v>
      </c>
      <c r="AB25" s="395">
        <f>Шать!D15</f>
        <v>1.0947899999999999</v>
      </c>
      <c r="AC25" s="227">
        <f t="shared" si="22"/>
        <v>2.606642857142857</v>
      </c>
      <c r="AD25" s="188">
        <f>Шать!C16</f>
        <v>305</v>
      </c>
      <c r="AE25" s="188">
        <f>Шать!D16</f>
        <v>10.140129999999999</v>
      </c>
      <c r="AF25" s="227">
        <f t="shared" si="4"/>
        <v>3.3246327868852452</v>
      </c>
      <c r="AG25" s="227">
        <f>Шать!C18</f>
        <v>5</v>
      </c>
      <c r="AH25" s="227">
        <f>Шать!D18</f>
        <v>0.6</v>
      </c>
      <c r="AI25" s="227">
        <f t="shared" si="23"/>
        <v>12</v>
      </c>
      <c r="AJ25" s="227"/>
      <c r="AK25" s="227"/>
      <c r="AL25" s="227" t="e">
        <f>AJ25/AK25*100</f>
        <v>#DIV/0!</v>
      </c>
      <c r="AM25" s="188">
        <v>0</v>
      </c>
      <c r="AN25" s="188">
        <f>0</f>
        <v>0</v>
      </c>
      <c r="AO25" s="227" t="e">
        <f t="shared" si="6"/>
        <v>#DIV/0!</v>
      </c>
      <c r="AP25" s="188">
        <f>Шать!C27</f>
        <v>62</v>
      </c>
      <c r="AQ25" s="434">
        <f>Шать!D27</f>
        <v>12.9168</v>
      </c>
      <c r="AR25" s="227">
        <f t="shared" si="24"/>
        <v>20.833548387096776</v>
      </c>
      <c r="AS25" s="188">
        <f>Шать!C28</f>
        <v>17</v>
      </c>
      <c r="AT25" s="395">
        <f>Шать!D28</f>
        <v>4.3352000000000004</v>
      </c>
      <c r="AU25" s="227">
        <f t="shared" si="25"/>
        <v>25.501176470588238</v>
      </c>
      <c r="AV25" s="188"/>
      <c r="AW25" s="188"/>
      <c r="AX25" s="227" t="e">
        <f t="shared" si="26"/>
        <v>#DIV/0!</v>
      </c>
      <c r="AY25" s="227">
        <f>Шать!C29</f>
        <v>30</v>
      </c>
      <c r="AZ25" s="227">
        <f>Шать!D29</f>
        <v>4.7791199999999998</v>
      </c>
      <c r="BA25" s="227">
        <f t="shared" si="27"/>
        <v>15.930400000000001</v>
      </c>
      <c r="BB25" s="227"/>
      <c r="BC25" s="227"/>
      <c r="BD25" s="227"/>
      <c r="BE25" s="227">
        <f>Шать!C33</f>
        <v>0</v>
      </c>
      <c r="BF25" s="227">
        <f>Шать!D33</f>
        <v>0</v>
      </c>
      <c r="BG25" s="227" t="e">
        <f t="shared" si="28"/>
        <v>#DIV/0!</v>
      </c>
      <c r="BH25" s="227"/>
      <c r="BI25" s="227"/>
      <c r="BJ25" s="227" t="e">
        <f t="shared" si="29"/>
        <v>#DIV/0!</v>
      </c>
      <c r="BK25" s="227"/>
      <c r="BL25" s="227"/>
      <c r="BM25" s="227"/>
      <c r="BN25" s="227">
        <f>Шать!C34</f>
        <v>0</v>
      </c>
      <c r="BO25" s="358">
        <f>Шать!D34</f>
        <v>0</v>
      </c>
      <c r="BP25" s="227" t="e">
        <f t="shared" si="30"/>
        <v>#DIV/0!</v>
      </c>
      <c r="BQ25" s="227">
        <f>Шать!C37</f>
        <v>0</v>
      </c>
      <c r="BR25" s="227">
        <f>Шать!D39</f>
        <v>0</v>
      </c>
      <c r="BS25" s="227" t="e">
        <f t="shared" si="31"/>
        <v>#DIV/0!</v>
      </c>
      <c r="BT25" s="227"/>
      <c r="BU25" s="227"/>
      <c r="BV25" s="229" t="e">
        <f t="shared" si="32"/>
        <v>#DIV/0!</v>
      </c>
      <c r="BW25" s="229"/>
      <c r="BX25" s="229"/>
      <c r="BY25" s="229" t="e">
        <f t="shared" si="33"/>
        <v>#DIV/0!</v>
      </c>
      <c r="BZ25" s="188">
        <f t="shared" si="34"/>
        <v>2706.39878</v>
      </c>
      <c r="CA25" s="186">
        <f t="shared" si="35"/>
        <v>239.48400000000001</v>
      </c>
      <c r="CB25" s="227">
        <f t="shared" si="53"/>
        <v>8.848806826612595</v>
      </c>
      <c r="CC25" s="227">
        <f>Шать!C42</f>
        <v>1347.9</v>
      </c>
      <c r="CD25" s="227">
        <f>Шать!D42</f>
        <v>224.65</v>
      </c>
      <c r="CE25" s="227">
        <f t="shared" si="36"/>
        <v>16.666666666666664</v>
      </c>
      <c r="CF25" s="227">
        <f>Шать!C43</f>
        <v>290</v>
      </c>
      <c r="CG25" s="227">
        <f>Шать!D43</f>
        <v>0</v>
      </c>
      <c r="CH25" s="227">
        <f t="shared" si="37"/>
        <v>0</v>
      </c>
      <c r="CI25" s="227">
        <f>Шать!C44</f>
        <v>858.75699999999995</v>
      </c>
      <c r="CJ25" s="227">
        <f>Шать!D44</f>
        <v>0</v>
      </c>
      <c r="CK25" s="227">
        <f t="shared" si="7"/>
        <v>0</v>
      </c>
      <c r="CL25" s="227">
        <f>Шать!C45</f>
        <v>91.480999999999995</v>
      </c>
      <c r="CM25" s="227">
        <f>Шать!D45</f>
        <v>14.834</v>
      </c>
      <c r="CN25" s="227">
        <f t="shared" si="8"/>
        <v>16.215388987877262</v>
      </c>
      <c r="CO25" s="227">
        <f>Шать!C46</f>
        <v>0</v>
      </c>
      <c r="CP25" s="227">
        <f>Шать!D46</f>
        <v>0</v>
      </c>
      <c r="CQ25" s="227"/>
      <c r="CR25" s="397">
        <f>Шать!C50</f>
        <v>118.26078</v>
      </c>
      <c r="CS25" s="227">
        <f>Шать!D50</f>
        <v>0</v>
      </c>
      <c r="CT25" s="227">
        <f t="shared" si="9"/>
        <v>0</v>
      </c>
      <c r="CU25" s="227"/>
      <c r="CV25" s="227"/>
      <c r="CW25" s="227"/>
      <c r="CX25" s="188"/>
      <c r="CY25" s="188"/>
      <c r="CZ25" s="227" t="e">
        <f t="shared" si="38"/>
        <v>#DIV/0!</v>
      </c>
      <c r="DA25" s="227"/>
      <c r="DB25" s="227"/>
      <c r="DC25" s="227"/>
      <c r="DD25" s="227"/>
      <c r="DE25" s="227"/>
      <c r="DF25" s="227"/>
      <c r="DG25" s="188">
        <f t="shared" si="39"/>
        <v>3567.62228</v>
      </c>
      <c r="DH25" s="188">
        <f t="shared" si="39"/>
        <v>260.60329999999999</v>
      </c>
      <c r="DI25" s="227">
        <f>DH25/DG25*100</f>
        <v>7.3046774447209692</v>
      </c>
      <c r="DJ25" s="188">
        <f t="shared" si="41"/>
        <v>1086.1780000000001</v>
      </c>
      <c r="DK25" s="188">
        <f t="shared" si="41"/>
        <v>102.69219</v>
      </c>
      <c r="DL25" s="227">
        <f t="shared" si="42"/>
        <v>9.4544531375152125</v>
      </c>
      <c r="DM25" s="227">
        <f>Шать!C58</f>
        <v>1078.4780000000001</v>
      </c>
      <c r="DN25" s="227">
        <f>Шать!D58</f>
        <v>100.11418999999999</v>
      </c>
      <c r="DO25" s="227">
        <f t="shared" si="43"/>
        <v>9.2829144405356434</v>
      </c>
      <c r="DP25" s="227">
        <f>Шать!C61</f>
        <v>0</v>
      </c>
      <c r="DQ25" s="227">
        <f>Шать!D61</f>
        <v>0</v>
      </c>
      <c r="DR25" s="227" t="e">
        <f t="shared" si="44"/>
        <v>#DIV/0!</v>
      </c>
      <c r="DS25" s="227">
        <f>Шать!C62</f>
        <v>5</v>
      </c>
      <c r="DT25" s="227">
        <f>Шать!D62</f>
        <v>0</v>
      </c>
      <c r="DU25" s="227">
        <f t="shared" si="45"/>
        <v>0</v>
      </c>
      <c r="DV25" s="227">
        <f>Шать!C63</f>
        <v>2.7</v>
      </c>
      <c r="DW25" s="227">
        <f>Шать!D63</f>
        <v>2.5779999999999998</v>
      </c>
      <c r="DX25" s="227">
        <f t="shared" si="46"/>
        <v>95.481481481481467</v>
      </c>
      <c r="DY25" s="227">
        <f>Шать!C65</f>
        <v>89.944999999999993</v>
      </c>
      <c r="DZ25" s="227">
        <f>Шать!D65</f>
        <v>9.3450100000000003</v>
      </c>
      <c r="EA25" s="227">
        <f t="shared" si="47"/>
        <v>10.3896937017066</v>
      </c>
      <c r="EB25" s="227">
        <f>Шать!C66</f>
        <v>8</v>
      </c>
      <c r="EC25" s="227">
        <f>Шать!D66</f>
        <v>0</v>
      </c>
      <c r="ED25" s="227">
        <f t="shared" si="48"/>
        <v>0</v>
      </c>
      <c r="EE25" s="188">
        <f>Шать!C72</f>
        <v>1405.5992800000001</v>
      </c>
      <c r="EF25" s="188">
        <f>Шать!D72</f>
        <v>11.866099999999999</v>
      </c>
      <c r="EG25" s="227">
        <f t="shared" si="49"/>
        <v>0.84420219680249109</v>
      </c>
      <c r="EH25" s="188">
        <f>Шать!C77</f>
        <v>175.5</v>
      </c>
      <c r="EI25" s="188">
        <f>Шать!D77</f>
        <v>0</v>
      </c>
      <c r="EJ25" s="227">
        <f t="shared" si="50"/>
        <v>0</v>
      </c>
      <c r="EK25" s="188">
        <f>Шать!C81</f>
        <v>801.4</v>
      </c>
      <c r="EL25" s="230">
        <f>Шать!D81</f>
        <v>136.69999999999999</v>
      </c>
      <c r="EM25" s="227">
        <f t="shared" si="10"/>
        <v>17.05764911405041</v>
      </c>
      <c r="EN25" s="227">
        <f>Шать!C83</f>
        <v>0</v>
      </c>
      <c r="EO25" s="227">
        <f>Шать!D83</f>
        <v>0</v>
      </c>
      <c r="EP25" s="227" t="e">
        <f t="shared" si="11"/>
        <v>#DIV/0!</v>
      </c>
      <c r="EQ25" s="228">
        <f>Шать!C88</f>
        <v>1</v>
      </c>
      <c r="ER25" s="228">
        <f>Шать!D88</f>
        <v>0</v>
      </c>
      <c r="ES25" s="227">
        <f t="shared" si="51"/>
        <v>0</v>
      </c>
      <c r="ET25" s="227">
        <f>Шать!C94</f>
        <v>0</v>
      </c>
      <c r="EU25" s="227">
        <f>Шать!D94</f>
        <v>0</v>
      </c>
      <c r="EV25" s="227" t="e">
        <f t="shared" si="52"/>
        <v>#DIV/0!</v>
      </c>
      <c r="EW25" s="231">
        <f t="shared" si="12"/>
        <v>-27.771500000000287</v>
      </c>
      <c r="EX25" s="231">
        <f t="shared" si="13"/>
        <v>83.887159999999994</v>
      </c>
      <c r="EY25" s="227">
        <f t="shared" si="54"/>
        <v>-302.06204202149371</v>
      </c>
      <c r="EZ25" s="232"/>
      <c r="FA25" s="233"/>
      <c r="FC25" s="233"/>
    </row>
    <row r="26" spans="1:170" s="406" customFormat="1" ht="15" customHeight="1">
      <c r="A26" s="407">
        <v>13</v>
      </c>
      <c r="B26" s="194" t="s">
        <v>316</v>
      </c>
      <c r="C26" s="484">
        <f t="shared" si="14"/>
        <v>5074.41</v>
      </c>
      <c r="D26" s="446">
        <f t="shared" si="0"/>
        <v>500.91137000000003</v>
      </c>
      <c r="E26" s="187">
        <f t="shared" si="1"/>
        <v>9.8713223803358421</v>
      </c>
      <c r="F26" s="198">
        <f t="shared" si="2"/>
        <v>2888.6920000000005</v>
      </c>
      <c r="G26" s="198">
        <f t="shared" si="3"/>
        <v>358.11137000000002</v>
      </c>
      <c r="H26" s="187">
        <f t="shared" si="15"/>
        <v>12.397007711448641</v>
      </c>
      <c r="I26" s="195">
        <f>Юнг!C6</f>
        <v>132.63200000000001</v>
      </c>
      <c r="J26" s="188">
        <f>Юнг!D6</f>
        <v>12.7942</v>
      </c>
      <c r="K26" s="187">
        <f t="shared" si="16"/>
        <v>9.6463900114602801</v>
      </c>
      <c r="L26" s="187">
        <f>Юнг!C8</f>
        <v>186.49</v>
      </c>
      <c r="M26" s="187">
        <f>Юнг!D8</f>
        <v>45.111159999999998</v>
      </c>
      <c r="N26" s="187">
        <f t="shared" si="17"/>
        <v>24.189586573006594</v>
      </c>
      <c r="O26" s="187">
        <f>Юнг!C9</f>
        <v>2</v>
      </c>
      <c r="P26" s="187">
        <f>Юнг!D9</f>
        <v>0.30609999999999998</v>
      </c>
      <c r="Q26" s="187">
        <f t="shared" si="18"/>
        <v>15.305</v>
      </c>
      <c r="R26" s="187">
        <f>Юнг!C10</f>
        <v>311.47000000000003</v>
      </c>
      <c r="S26" s="187">
        <f>Юнг!D10</f>
        <v>66.259330000000006</v>
      </c>
      <c r="T26" s="187">
        <f t="shared" si="19"/>
        <v>21.273101743346068</v>
      </c>
      <c r="U26" s="187">
        <f>Юнг!C11</f>
        <v>0</v>
      </c>
      <c r="V26" s="402">
        <f>Юнг!D11</f>
        <v>-9.8278199999999991</v>
      </c>
      <c r="W26" s="187" t="e">
        <f t="shared" si="20"/>
        <v>#DIV/0!</v>
      </c>
      <c r="X26" s="195">
        <f>Юнг!C13</f>
        <v>40</v>
      </c>
      <c r="Y26" s="195">
        <f>Юнг!D13</f>
        <v>1.4589000000000001</v>
      </c>
      <c r="Z26" s="187">
        <f t="shared" si="21"/>
        <v>3.6472500000000005</v>
      </c>
      <c r="AA26" s="195">
        <f>Юнг!C15</f>
        <v>229</v>
      </c>
      <c r="AB26" s="395">
        <f>Юнг!D15</f>
        <v>9.3008400000000009</v>
      </c>
      <c r="AC26" s="187">
        <f t="shared" si="22"/>
        <v>4.0615021834061142</v>
      </c>
      <c r="AD26" s="195">
        <f>Юнг!C16</f>
        <v>1700</v>
      </c>
      <c r="AE26" s="195">
        <f>Юнг!D16</f>
        <v>213.05814000000001</v>
      </c>
      <c r="AF26" s="187">
        <f t="shared" si="4"/>
        <v>12.532831764705882</v>
      </c>
      <c r="AG26" s="187">
        <f>Юнг!C18</f>
        <v>12</v>
      </c>
      <c r="AH26" s="187">
        <f>Юнг!D18</f>
        <v>2.5</v>
      </c>
      <c r="AI26" s="187">
        <f t="shared" si="23"/>
        <v>20.833333333333336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224.4</v>
      </c>
      <c r="AQ26" s="434">
        <f>Юнг!D27</f>
        <v>2.8</v>
      </c>
      <c r="AR26" s="187">
        <f t="shared" si="24"/>
        <v>1.2477718360071299</v>
      </c>
      <c r="AS26" s="195">
        <f>Юнг!C28</f>
        <v>50.7</v>
      </c>
      <c r="AT26" s="394">
        <f>Юнг!D28</f>
        <v>11.579499999999999</v>
      </c>
      <c r="AU26" s="187">
        <f t="shared" si="25"/>
        <v>22.839250493096642</v>
      </c>
      <c r="AV26" s="195"/>
      <c r="AW26" s="195"/>
      <c r="AX26" s="187" t="e">
        <f t="shared" si="26"/>
        <v>#DIV/0!</v>
      </c>
      <c r="AY26" s="187">
        <f>Юнг!C30</f>
        <v>0</v>
      </c>
      <c r="AZ26" s="227">
        <f>Юнг!D30</f>
        <v>2.77102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Юнг!D31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7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2185.7179999999998</v>
      </c>
      <c r="CA26" s="195">
        <f t="shared" si="35"/>
        <v>142.79999999999998</v>
      </c>
      <c r="CB26" s="187">
        <f t="shared" si="53"/>
        <v>6.5333222309556866</v>
      </c>
      <c r="CC26" s="187">
        <f>Юнг!C41</f>
        <v>767.8</v>
      </c>
      <c r="CD26" s="187">
        <f>Юнг!D41</f>
        <v>127.96599999999999</v>
      </c>
      <c r="CE26" s="187">
        <f t="shared" si="36"/>
        <v>16.666579838499608</v>
      </c>
      <c r="CF26" s="187">
        <f>Юнг!C42</f>
        <v>0</v>
      </c>
      <c r="CG26" s="187">
        <f>Юнг!D42</f>
        <v>0</v>
      </c>
      <c r="CH26" s="187" t="e">
        <f t="shared" si="37"/>
        <v>#DIV/0!</v>
      </c>
      <c r="CI26" s="187">
        <f>Юнг!C43</f>
        <v>1326.182</v>
      </c>
      <c r="CJ26" s="187">
        <f>Юнг!D43</f>
        <v>0</v>
      </c>
      <c r="CK26" s="187">
        <f t="shared" si="7"/>
        <v>0</v>
      </c>
      <c r="CL26" s="187">
        <f>Юнг!C44</f>
        <v>91.736000000000004</v>
      </c>
      <c r="CM26" s="187">
        <f>Юнг!D44</f>
        <v>14.834</v>
      </c>
      <c r="CN26" s="187">
        <f t="shared" si="8"/>
        <v>16.170314816429755</v>
      </c>
      <c r="CO26" s="187">
        <f>Юнг!C45</f>
        <v>0</v>
      </c>
      <c r="CP26" s="187">
        <f>Юнг!D45</f>
        <v>0</v>
      </c>
      <c r="CQ26" s="187"/>
      <c r="CR26" s="402">
        <f>Юнг!C48</f>
        <v>0</v>
      </c>
      <c r="CS26" s="187">
        <f>Юнг!D48</f>
        <v>0</v>
      </c>
      <c r="CT26" s="187" t="e">
        <f t="shared" si="9"/>
        <v>#DIV/0!</v>
      </c>
      <c r="CU26" s="187"/>
      <c r="CV26" s="187">
        <f>Юнг!D47</f>
        <v>0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88">
        <f t="shared" si="39"/>
        <v>5390.2387999999992</v>
      </c>
      <c r="DH26" s="188">
        <f t="shared" si="39"/>
        <v>374.57723999999996</v>
      </c>
      <c r="DI26" s="187">
        <f t="shared" si="40"/>
        <v>6.9491770939721631</v>
      </c>
      <c r="DJ26" s="195">
        <f t="shared" si="41"/>
        <v>1434.2819999999999</v>
      </c>
      <c r="DK26" s="195">
        <f t="shared" si="41"/>
        <v>139.40190999999999</v>
      </c>
      <c r="DL26" s="187">
        <f t="shared" si="42"/>
        <v>9.7192818427617436</v>
      </c>
      <c r="DM26" s="187">
        <f>Юнг!C57</f>
        <v>1425.6</v>
      </c>
      <c r="DN26" s="187">
        <f>Юнг!D57</f>
        <v>135.71991</v>
      </c>
      <c r="DO26" s="187">
        <f t="shared" si="43"/>
        <v>9.5201957070707088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3.6819999999999999</v>
      </c>
      <c r="DW26" s="187">
        <f>Юнг!D62</f>
        <v>3.6819999999999999</v>
      </c>
      <c r="DX26" s="187">
        <f t="shared" si="46"/>
        <v>100</v>
      </c>
      <c r="DY26" s="187">
        <f>Юнг!C64</f>
        <v>89.945999999999998</v>
      </c>
      <c r="DZ26" s="187">
        <f>Юнг!D64</f>
        <v>9.3432899999999997</v>
      </c>
      <c r="EA26" s="187">
        <f t="shared" si="47"/>
        <v>10.387665932893068</v>
      </c>
      <c r="EB26" s="187">
        <f>Юнг!C65</f>
        <v>17</v>
      </c>
      <c r="EC26" s="187">
        <f>Юнг!D65</f>
        <v>1.5</v>
      </c>
      <c r="ED26" s="187">
        <f t="shared" si="48"/>
        <v>8.8235294117647065</v>
      </c>
      <c r="EE26" s="195">
        <f>Юнг!C71</f>
        <v>2412.4286999999999</v>
      </c>
      <c r="EF26" s="195">
        <f>Юнг!D71</f>
        <v>50.953000000000003</v>
      </c>
      <c r="EG26" s="187">
        <f t="shared" si="49"/>
        <v>2.1121038727486536</v>
      </c>
      <c r="EH26" s="195">
        <f>Юнг!C76</f>
        <v>393.38209999999998</v>
      </c>
      <c r="EI26" s="195">
        <f>Юнг!D76</f>
        <v>3.3790399999999998</v>
      </c>
      <c r="EJ26" s="187">
        <f t="shared" si="50"/>
        <v>0.8589714681984767</v>
      </c>
      <c r="EK26" s="195">
        <f>Юнг!C80</f>
        <v>1028.2</v>
      </c>
      <c r="EL26" s="197">
        <f>Юнг!D80</f>
        <v>170</v>
      </c>
      <c r="EM26" s="187">
        <f t="shared" si="10"/>
        <v>16.533748297996496</v>
      </c>
      <c r="EN26" s="187">
        <f>Юнг!C82</f>
        <v>0</v>
      </c>
      <c r="EO26" s="187">
        <f>Юнг!D82</f>
        <v>0</v>
      </c>
      <c r="EP26" s="187" t="e">
        <f t="shared" si="11"/>
        <v>#DIV/0!</v>
      </c>
      <c r="EQ26" s="198">
        <f>Юнг!C87</f>
        <v>15</v>
      </c>
      <c r="ER26" s="198">
        <f>Юнг!D87</f>
        <v>0</v>
      </c>
      <c r="ES26" s="187">
        <f t="shared" si="51"/>
        <v>0</v>
      </c>
      <c r="ET26" s="187">
        <f>Юнг!C93</f>
        <v>0</v>
      </c>
      <c r="EU26" s="187">
        <f>Юнг!D93</f>
        <v>0</v>
      </c>
      <c r="EV26" s="187" t="e">
        <f t="shared" si="52"/>
        <v>#DIV/0!</v>
      </c>
      <c r="EW26" s="403">
        <f t="shared" si="12"/>
        <v>-315.82879999999932</v>
      </c>
      <c r="EX26" s="403">
        <f t="shared" si="13"/>
        <v>126.33413000000007</v>
      </c>
      <c r="EY26" s="187">
        <f t="shared" si="54"/>
        <v>-40.000826397086122</v>
      </c>
      <c r="EZ26" s="404"/>
      <c r="FA26" s="405"/>
      <c r="FC26" s="405"/>
    </row>
    <row r="27" spans="1:170" s="169" customFormat="1" ht="15" customHeight="1">
      <c r="A27" s="181">
        <v>14</v>
      </c>
      <c r="B27" s="194" t="s">
        <v>317</v>
      </c>
      <c r="C27" s="483">
        <f t="shared" si="14"/>
        <v>5896.5080000000007</v>
      </c>
      <c r="D27" s="446">
        <f t="shared" si="0"/>
        <v>741.68375000000003</v>
      </c>
      <c r="E27" s="187">
        <f t="shared" si="1"/>
        <v>12.578355697982602</v>
      </c>
      <c r="F27" s="185">
        <f>I27+X27+AA27+AD27+AG27+AM27+AS27+BE27+BQ27+BN27+AJ27+AY27+L27+R27+O27+U27+AP27</f>
        <v>1422.8040000000001</v>
      </c>
      <c r="G27" s="185">
        <f t="shared" si="3"/>
        <v>207.18375</v>
      </c>
      <c r="H27" s="187">
        <f t="shared" si="15"/>
        <v>14.561650796596018</v>
      </c>
      <c r="I27" s="195">
        <f>Юсь!C6</f>
        <v>132.44399999999999</v>
      </c>
      <c r="J27" s="188">
        <f>Юсь!D6</f>
        <v>10.549860000000001</v>
      </c>
      <c r="K27" s="187">
        <f t="shared" si="16"/>
        <v>7.9655250520974912</v>
      </c>
      <c r="L27" s="187">
        <f>Юсь!C8</f>
        <v>250.79</v>
      </c>
      <c r="M27" s="187">
        <f>Юсь!D8</f>
        <v>60.666739999999997</v>
      </c>
      <c r="N27" s="184">
        <f t="shared" si="17"/>
        <v>24.190254794848279</v>
      </c>
      <c r="O27" s="184">
        <f>Юсь!C9</f>
        <v>2.69</v>
      </c>
      <c r="P27" s="184">
        <f>Юсь!D9</f>
        <v>0.41164000000000001</v>
      </c>
      <c r="Q27" s="184">
        <f t="shared" si="18"/>
        <v>15.302602230483272</v>
      </c>
      <c r="R27" s="184">
        <f>Юсь!C10</f>
        <v>418.88</v>
      </c>
      <c r="S27" s="184">
        <f>Юсь!D10</f>
        <v>89.107370000000003</v>
      </c>
      <c r="T27" s="184">
        <f t="shared" si="19"/>
        <v>21.272767857142856</v>
      </c>
      <c r="U27" s="184">
        <f>Юсь!C11</f>
        <v>0</v>
      </c>
      <c r="V27" s="396">
        <f>Юсь!D11</f>
        <v>-13.21673</v>
      </c>
      <c r="W27" s="184" t="e">
        <f t="shared" si="20"/>
        <v>#DIV/0!</v>
      </c>
      <c r="X27" s="195">
        <f>Юсь!C13</f>
        <v>10</v>
      </c>
      <c r="Y27" s="195">
        <f>Юсь!D13</f>
        <v>8.1900000000000001E-2</v>
      </c>
      <c r="Z27" s="187">
        <f t="shared" si="21"/>
        <v>0.81899999999999995</v>
      </c>
      <c r="AA27" s="195">
        <f>Юсь!C15</f>
        <v>128</v>
      </c>
      <c r="AB27" s="395">
        <f>Юсь!D15</f>
        <v>3.3134700000000001</v>
      </c>
      <c r="AC27" s="187">
        <f t="shared" si="22"/>
        <v>2.5886484375000003</v>
      </c>
      <c r="AD27" s="195">
        <f>Юсь!C16</f>
        <v>325</v>
      </c>
      <c r="AE27" s="195">
        <f>Юсь!D16</f>
        <v>9.3588500000000003</v>
      </c>
      <c r="AF27" s="187">
        <f t="shared" si="4"/>
        <v>2.8796461538461537</v>
      </c>
      <c r="AG27" s="187">
        <f>Юсь!C18</f>
        <v>5</v>
      </c>
      <c r="AH27" s="187">
        <f>Юсь!D18</f>
        <v>1</v>
      </c>
      <c r="AI27" s="187">
        <f t="shared" si="23"/>
        <v>20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34">
        <f>Юсь!D27</f>
        <v>0</v>
      </c>
      <c r="AR27" s="187" t="e">
        <f t="shared" si="24"/>
        <v>#DIV/0!</v>
      </c>
      <c r="AS27" s="188">
        <f>Юсь!C28</f>
        <v>50</v>
      </c>
      <c r="AT27" s="394">
        <f>Юсь!D28</f>
        <v>4</v>
      </c>
      <c r="AU27" s="187">
        <f t="shared" si="25"/>
        <v>8</v>
      </c>
      <c r="AV27" s="195"/>
      <c r="AW27" s="195"/>
      <c r="AX27" s="187" t="e">
        <f t="shared" si="26"/>
        <v>#DIV/0!</v>
      </c>
      <c r="AY27" s="187">
        <f>Юсь!C30</f>
        <v>100</v>
      </c>
      <c r="AZ27" s="227">
        <f>Юсь!D30</f>
        <v>41.910649999999997</v>
      </c>
      <c r="BA27" s="187">
        <f t="shared" si="27"/>
        <v>41.910649999999997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7"/>
      <c r="BP27" s="187" t="e">
        <f t="shared" si="30"/>
        <v>#DIV/0!</v>
      </c>
      <c r="BQ27" s="187">
        <f>Юсь!C34</f>
        <v>0</v>
      </c>
      <c r="BR27" s="187">
        <f>Юсь!D34</f>
        <v>0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4473.7040000000006</v>
      </c>
      <c r="CA27" s="186">
        <f t="shared" si="35"/>
        <v>534.5</v>
      </c>
      <c r="CB27" s="187">
        <f t="shared" si="53"/>
        <v>11.947594208289146</v>
      </c>
      <c r="CC27" s="187">
        <f>Юсь!C39</f>
        <v>3029</v>
      </c>
      <c r="CD27" s="187">
        <f>Юсь!D39</f>
        <v>504.834</v>
      </c>
      <c r="CE27" s="187">
        <f t="shared" si="36"/>
        <v>16.666688676130736</v>
      </c>
      <c r="CF27" s="357">
        <f>Юсь!C41</f>
        <v>0</v>
      </c>
      <c r="CG27" s="187">
        <f>Юсь!D41</f>
        <v>0</v>
      </c>
      <c r="CH27" s="187" t="e">
        <f t="shared" si="37"/>
        <v>#DIV/0!</v>
      </c>
      <c r="CI27" s="187">
        <f>Юсь!C42</f>
        <v>1262.047</v>
      </c>
      <c r="CJ27" s="187">
        <f>Юсь!D42</f>
        <v>0</v>
      </c>
      <c r="CK27" s="187">
        <f t="shared" si="7"/>
        <v>0</v>
      </c>
      <c r="CL27" s="187">
        <f>Юсь!C43</f>
        <v>182.65700000000001</v>
      </c>
      <c r="CM27" s="187">
        <f>Юсь!D43</f>
        <v>29.666</v>
      </c>
      <c r="CN27" s="187">
        <f t="shared" si="8"/>
        <v>16.241370437486655</v>
      </c>
      <c r="CO27" s="187">
        <f>Юсь!C50</f>
        <v>0</v>
      </c>
      <c r="CP27" s="187">
        <f>Юсь!D50</f>
        <v>0</v>
      </c>
      <c r="CQ27" s="187"/>
      <c r="CR27" s="402">
        <f>Юсь!C51</f>
        <v>0</v>
      </c>
      <c r="CS27" s="187">
        <f>Юсь!D51</f>
        <v>0</v>
      </c>
      <c r="CT27" s="187" t="e">
        <f t="shared" si="9"/>
        <v>#DIV/0!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88">
        <f t="shared" si="39"/>
        <v>5998.6385</v>
      </c>
      <c r="DH27" s="188">
        <f t="shared" si="39"/>
        <v>582.53376000000003</v>
      </c>
      <c r="DI27" s="187">
        <f t="shared" si="40"/>
        <v>9.7110996103532496</v>
      </c>
      <c r="DJ27" s="195">
        <f t="shared" si="41"/>
        <v>1234.7919999999999</v>
      </c>
      <c r="DK27" s="195">
        <f t="shared" si="41"/>
        <v>120.48928000000001</v>
      </c>
      <c r="DL27" s="187">
        <f t="shared" si="42"/>
        <v>9.7578604331741712</v>
      </c>
      <c r="DM27" s="187">
        <f>Юсь!C59</f>
        <v>1175.2919999999999</v>
      </c>
      <c r="DN27" s="187">
        <f>Юсь!D59</f>
        <v>116.29728</v>
      </c>
      <c r="DO27" s="187">
        <f t="shared" si="43"/>
        <v>9.895181793120349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54.5</v>
      </c>
      <c r="DW27" s="187">
        <f>Юсь!D64</f>
        <v>4.1920000000000002</v>
      </c>
      <c r="DX27" s="187">
        <f t="shared" si="46"/>
        <v>7.6917431192660546</v>
      </c>
      <c r="DY27" s="187">
        <f>Юсь!C66</f>
        <v>179.892</v>
      </c>
      <c r="DZ27" s="187">
        <f>Юсь!D66</f>
        <v>18.689</v>
      </c>
      <c r="EA27" s="187">
        <f t="shared" si="47"/>
        <v>10.389011184488471</v>
      </c>
      <c r="EB27" s="187">
        <f>Юсь!C67</f>
        <v>17</v>
      </c>
      <c r="EC27" s="187">
        <f>Юсь!D67</f>
        <v>2</v>
      </c>
      <c r="ED27" s="187">
        <f t="shared" si="48"/>
        <v>11.76470588235294</v>
      </c>
      <c r="EE27" s="195">
        <f>Юсь!C73</f>
        <v>2091.1095</v>
      </c>
      <c r="EF27" s="195">
        <f>Юсь!D73</f>
        <v>70.591999999999999</v>
      </c>
      <c r="EG27" s="187">
        <f t="shared" si="49"/>
        <v>3.3758155658515254</v>
      </c>
      <c r="EH27" s="195">
        <f>Юсь!C78</f>
        <v>434.66699999999997</v>
      </c>
      <c r="EI27" s="195">
        <f>Юсь!D78</f>
        <v>20.372610000000002</v>
      </c>
      <c r="EJ27" s="187">
        <f t="shared" si="50"/>
        <v>4.686946559090063</v>
      </c>
      <c r="EK27" s="195">
        <f>Юсь!C82</f>
        <v>2039.1780000000001</v>
      </c>
      <c r="EL27" s="197">
        <f>Юсь!D82</f>
        <v>350.39087000000001</v>
      </c>
      <c r="EM27" s="187">
        <f t="shared" si="10"/>
        <v>17.182946755996777</v>
      </c>
      <c r="EN27" s="187">
        <f>Юсь!C84</f>
        <v>0</v>
      </c>
      <c r="EO27" s="187">
        <f>Юсь!D84</f>
        <v>0</v>
      </c>
      <c r="EP27" s="187" t="e">
        <f t="shared" si="11"/>
        <v>#DIV/0!</v>
      </c>
      <c r="EQ27" s="198">
        <f>Юсь!C89</f>
        <v>2</v>
      </c>
      <c r="ER27" s="198">
        <f>Юсь!D89</f>
        <v>0</v>
      </c>
      <c r="ES27" s="187">
        <f t="shared" si="51"/>
        <v>0</v>
      </c>
      <c r="ET27" s="187">
        <f>Юсь!C95</f>
        <v>0</v>
      </c>
      <c r="EU27" s="187">
        <f>Юсь!D95</f>
        <v>0</v>
      </c>
      <c r="EV27" s="184" t="e">
        <f t="shared" si="52"/>
        <v>#DIV/0!</v>
      </c>
      <c r="EW27" s="191">
        <f t="shared" si="12"/>
        <v>-102.1304999999993</v>
      </c>
      <c r="EX27" s="191">
        <f t="shared" si="13"/>
        <v>159.14999</v>
      </c>
      <c r="EY27" s="184">
        <f t="shared" si="54"/>
        <v>-155.83003118559205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84">
        <f t="shared" si="14"/>
        <v>8604.4030700000003</v>
      </c>
      <c r="D28" s="446">
        <f>G28+CA28+CY28</f>
        <v>616.45853999999997</v>
      </c>
      <c r="E28" s="187">
        <f>D28/C28*100</f>
        <v>7.1644544657529616</v>
      </c>
      <c r="F28" s="185">
        <f t="shared" si="2"/>
        <v>2898.9320000000002</v>
      </c>
      <c r="G28" s="185">
        <f>J28+Y28+AB28+AE28+AH28+AN28+AT28+BF28+AK28+BR28+BO28+AZ28+M28+S28+P28+V28+AQ28</f>
        <v>277.99253999999996</v>
      </c>
      <c r="H28" s="187">
        <f>G28/F28*100</f>
        <v>9.5894812296390501</v>
      </c>
      <c r="I28" s="195">
        <f>Яра!C6</f>
        <v>137.33699999999999</v>
      </c>
      <c r="J28" s="188">
        <f>Яра!D6</f>
        <v>11.581519999999999</v>
      </c>
      <c r="K28" s="187">
        <f t="shared" si="16"/>
        <v>8.4329204802784403</v>
      </c>
      <c r="L28" s="187">
        <f>Яра!C8</f>
        <v>274.90499999999997</v>
      </c>
      <c r="M28" s="187">
        <f>Яра!D8</f>
        <v>66.50009</v>
      </c>
      <c r="N28" s="184">
        <f t="shared" si="17"/>
        <v>24.190207526236339</v>
      </c>
      <c r="O28" s="184">
        <f>Яра!C9</f>
        <v>2.948</v>
      </c>
      <c r="P28" s="184">
        <f>Яра!D9</f>
        <v>0.45122000000000001</v>
      </c>
      <c r="Q28" s="184">
        <f t="shared" si="18"/>
        <v>15.305970149253731</v>
      </c>
      <c r="R28" s="184">
        <f>Яра!C10</f>
        <v>459.15699999999998</v>
      </c>
      <c r="S28" s="184">
        <f>Яра!D10</f>
        <v>97.675389999999993</v>
      </c>
      <c r="T28" s="184">
        <f t="shared" si="19"/>
        <v>21.272765089065395</v>
      </c>
      <c r="U28" s="184">
        <f>Яра!C11</f>
        <v>0</v>
      </c>
      <c r="V28" s="396">
        <f>Яра!D11</f>
        <v>-14.48757</v>
      </c>
      <c r="W28" s="184" t="e">
        <f t="shared" si="20"/>
        <v>#DIV/0!</v>
      </c>
      <c r="X28" s="195">
        <f>Яра!C13</f>
        <v>21</v>
      </c>
      <c r="Y28" s="195">
        <f>Яра!D13</f>
        <v>3.1707000000000001</v>
      </c>
      <c r="Z28" s="187">
        <f t="shared" si="21"/>
        <v>15.098571428571429</v>
      </c>
      <c r="AA28" s="195">
        <f>Яра!C15</f>
        <v>201</v>
      </c>
      <c r="AB28" s="395">
        <f>Яра!D15</f>
        <v>12.64777</v>
      </c>
      <c r="AC28" s="187">
        <f t="shared" si="22"/>
        <v>6.2924228855721394</v>
      </c>
      <c r="AD28" s="195">
        <f>Яра!C16</f>
        <v>1350</v>
      </c>
      <c r="AE28" s="195">
        <f>Яра!D16</f>
        <v>60.560830000000003</v>
      </c>
      <c r="AF28" s="187">
        <f t="shared" si="4"/>
        <v>4.4859874074074071</v>
      </c>
      <c r="AG28" s="187">
        <f>Яра!C18</f>
        <v>12</v>
      </c>
      <c r="AH28" s="187">
        <f>Яра!D18</f>
        <v>0.62</v>
      </c>
      <c r="AI28" s="187">
        <f t="shared" si="23"/>
        <v>5.166666666666667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10</v>
      </c>
      <c r="AQ28" s="434">
        <f>Яра!D27</f>
        <v>0.39300000000000002</v>
      </c>
      <c r="AR28" s="187">
        <f t="shared" si="24"/>
        <v>3.93</v>
      </c>
      <c r="AS28" s="188">
        <f>Яра!C28</f>
        <v>0</v>
      </c>
      <c r="AT28" s="394">
        <f>Яра!D28</f>
        <v>0</v>
      </c>
      <c r="AU28" s="187" t="e">
        <f t="shared" si="25"/>
        <v>#DIV/0!</v>
      </c>
      <c r="AV28" s="195"/>
      <c r="AW28" s="195"/>
      <c r="AX28" s="187" t="e">
        <f t="shared" si="26"/>
        <v>#DIV/0!</v>
      </c>
      <c r="AY28" s="187">
        <f>Яра!C31</f>
        <v>0</v>
      </c>
      <c r="AZ28" s="227">
        <f>Яра!D31</f>
        <v>0</v>
      </c>
      <c r="BA28" s="187" t="e">
        <f t="shared" si="27"/>
        <v>#DIV/0!</v>
      </c>
      <c r="BB28" s="187"/>
      <c r="BC28" s="187"/>
      <c r="BD28" s="187"/>
      <c r="BE28" s="187">
        <f>Яра!C34</f>
        <v>430.58499999999998</v>
      </c>
      <c r="BF28" s="187">
        <v>0</v>
      </c>
      <c r="BG28" s="187">
        <f t="shared" si="28"/>
        <v>0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7">
        <f>Яра!D35</f>
        <v>38.87959</v>
      </c>
      <c r="BP28" s="187" t="e">
        <f t="shared" si="30"/>
        <v>#DIV/0!</v>
      </c>
      <c r="BQ28" s="187">
        <f>Яра!C37</f>
        <v>0</v>
      </c>
      <c r="BR28" s="187">
        <f>Яра!D37</f>
        <v>0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5705.4710699999996</v>
      </c>
      <c r="CA28" s="186">
        <f t="shared" si="35"/>
        <v>338.46600000000001</v>
      </c>
      <c r="CB28" s="187">
        <f t="shared" si="53"/>
        <v>5.9323059541865319</v>
      </c>
      <c r="CC28" s="187">
        <f>Яра!C42</f>
        <v>1852.8</v>
      </c>
      <c r="CD28" s="187">
        <f>Яра!D42</f>
        <v>308.8</v>
      </c>
      <c r="CE28" s="187">
        <f t="shared" si="36"/>
        <v>16.666666666666668</v>
      </c>
      <c r="CF28" s="187">
        <f>Яра!C43</f>
        <v>494</v>
      </c>
      <c r="CG28" s="187">
        <f>Яра!D43</f>
        <v>0</v>
      </c>
      <c r="CH28" s="187">
        <f t="shared" si="37"/>
        <v>0</v>
      </c>
      <c r="CI28" s="187">
        <f>Яра!C44</f>
        <v>3176.6280700000002</v>
      </c>
      <c r="CJ28" s="187">
        <f>Яра!D44</f>
        <v>0</v>
      </c>
      <c r="CK28" s="187">
        <f t="shared" si="7"/>
        <v>0</v>
      </c>
      <c r="CL28" s="187">
        <f>Яра!C45</f>
        <v>182.04300000000001</v>
      </c>
      <c r="CM28" s="187">
        <f>Яра!D45</f>
        <v>29.666</v>
      </c>
      <c r="CN28" s="187">
        <f t="shared" si="8"/>
        <v>16.296149810758997</v>
      </c>
      <c r="CO28" s="187">
        <f>Яра!C47</f>
        <v>0</v>
      </c>
      <c r="CP28" s="187">
        <f>Яра!D47</f>
        <v>0</v>
      </c>
      <c r="CQ28" s="187"/>
      <c r="CR28" s="402">
        <f>Яра!C51</f>
        <v>0</v>
      </c>
      <c r="CS28" s="187">
        <f>Яра!D51</f>
        <v>0</v>
      </c>
      <c r="CT28" s="187" t="e">
        <f t="shared" si="9"/>
        <v>#DIV/0!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88">
        <f t="shared" si="39"/>
        <v>9495.887850000001</v>
      </c>
      <c r="DH28" s="188">
        <f t="shared" si="39"/>
        <v>568.73133000000007</v>
      </c>
      <c r="DI28" s="187">
        <f t="shared" si="40"/>
        <v>5.9892380679285298</v>
      </c>
      <c r="DJ28" s="195">
        <f t="shared" si="41"/>
        <v>1209.8699999999999</v>
      </c>
      <c r="DK28" s="195">
        <f t="shared" si="41"/>
        <v>145.06026</v>
      </c>
      <c r="DL28" s="187">
        <f t="shared" si="42"/>
        <v>11.989739393488557</v>
      </c>
      <c r="DM28" s="187">
        <f>Яра!C59</f>
        <v>1197.0999999999999</v>
      </c>
      <c r="DN28" s="187">
        <f>Яра!D59</f>
        <v>137.29076000000001</v>
      </c>
      <c r="DO28" s="187">
        <f t="shared" si="43"/>
        <v>11.46861248016039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7.77</v>
      </c>
      <c r="DW28" s="187">
        <f>Яра!D64</f>
        <v>7.7694999999999999</v>
      </c>
      <c r="DX28" s="187">
        <f t="shared" si="46"/>
        <v>99.993564993565002</v>
      </c>
      <c r="DY28" s="187">
        <f>Яра!C66</f>
        <v>179.892</v>
      </c>
      <c r="DZ28" s="187">
        <f>Яра!D65</f>
        <v>19.184550000000002</v>
      </c>
      <c r="EA28" s="187">
        <f t="shared" si="47"/>
        <v>10.664482022546864</v>
      </c>
      <c r="EB28" s="187">
        <f>Яра!C67</f>
        <v>6.1749999999999998</v>
      </c>
      <c r="EC28" s="187">
        <f>Яра!D67</f>
        <v>0.17499999999999999</v>
      </c>
      <c r="ED28" s="187">
        <f t="shared" si="48"/>
        <v>2.834008097165992</v>
      </c>
      <c r="EE28" s="195">
        <f>Яра!C73</f>
        <v>3598.0830100000003</v>
      </c>
      <c r="EF28" s="195">
        <f>Яра!D73</f>
        <v>18.71134</v>
      </c>
      <c r="EG28" s="187">
        <f t="shared" si="49"/>
        <v>0.52003636236285722</v>
      </c>
      <c r="EH28" s="195">
        <f>Яра!C78</f>
        <v>512.78099999999995</v>
      </c>
      <c r="EI28" s="195">
        <f>Яра!D78</f>
        <v>37.380409999999998</v>
      </c>
      <c r="EJ28" s="187">
        <f t="shared" si="50"/>
        <v>7.2897416245921747</v>
      </c>
      <c r="EK28" s="195">
        <f>Яра!C82</f>
        <v>3937.1748400000001</v>
      </c>
      <c r="EL28" s="197">
        <f>Яра!D82</f>
        <v>342.00076999999999</v>
      </c>
      <c r="EM28" s="187">
        <f t="shared" si="10"/>
        <v>8.6864511711651584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51.911999999999999</v>
      </c>
      <c r="ER28" s="198">
        <f>Яра!D89</f>
        <v>6.2190000000000003</v>
      </c>
      <c r="ES28" s="187">
        <f t="shared" si="51"/>
        <v>11.97988904299584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-891.48478000000068</v>
      </c>
      <c r="EX28" s="191">
        <f t="shared" si="13"/>
        <v>47.7272099999999</v>
      </c>
      <c r="EY28" s="184">
        <f t="shared" si="54"/>
        <v>-5.3536763689897056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11729.342949999998</v>
      </c>
      <c r="D29" s="446">
        <f t="shared" si="0"/>
        <v>536.89230999999995</v>
      </c>
      <c r="E29" s="184">
        <f t="shared" si="1"/>
        <v>4.5773434393441459</v>
      </c>
      <c r="F29" s="185">
        <f t="shared" si="2"/>
        <v>2473.2962699999998</v>
      </c>
      <c r="G29" s="185">
        <f t="shared" si="3"/>
        <v>189.78863000000001</v>
      </c>
      <c r="H29" s="184">
        <f t="shared" si="15"/>
        <v>7.6735097328230726</v>
      </c>
      <c r="I29" s="186">
        <f>Яро!C6</f>
        <v>109.68899999999999</v>
      </c>
      <c r="J29" s="188">
        <f>Яро!D6</f>
        <v>13.491540000000001</v>
      </c>
      <c r="K29" s="184">
        <f t="shared" si="16"/>
        <v>12.299811284632007</v>
      </c>
      <c r="L29" s="184">
        <f>Яро!C8</f>
        <v>157.55000000000001</v>
      </c>
      <c r="M29" s="184">
        <f>Яро!D8</f>
        <v>38.111159999999998</v>
      </c>
      <c r="N29" s="184">
        <f t="shared" si="17"/>
        <v>24.189882576959693</v>
      </c>
      <c r="O29" s="184">
        <f>Яро!C9</f>
        <v>1.69</v>
      </c>
      <c r="P29" s="184">
        <f>Яро!D9</f>
        <v>0.25857999999999998</v>
      </c>
      <c r="Q29" s="184">
        <f t="shared" si="18"/>
        <v>15.300591715976331</v>
      </c>
      <c r="R29" s="184">
        <f>Яро!C10</f>
        <v>263.14</v>
      </c>
      <c r="S29" s="184">
        <f>Яро!D10</f>
        <v>55.977730000000001</v>
      </c>
      <c r="T29" s="184">
        <f t="shared" si="19"/>
        <v>21.272983962909478</v>
      </c>
      <c r="U29" s="184">
        <f>Яро!C11</f>
        <v>0</v>
      </c>
      <c r="V29" s="396">
        <f>Яро!D11</f>
        <v>-8.3028300000000002</v>
      </c>
      <c r="W29" s="184" t="e">
        <f t="shared" si="20"/>
        <v>#DIV/0!</v>
      </c>
      <c r="X29" s="186">
        <f>Яро!C13</f>
        <v>5</v>
      </c>
      <c r="Y29" s="186">
        <f>Яро!D13</f>
        <v>0.74790000000000001</v>
      </c>
      <c r="Z29" s="184">
        <f t="shared" si="21"/>
        <v>14.957999999999998</v>
      </c>
      <c r="AA29" s="186">
        <f>Яро!C15</f>
        <v>428</v>
      </c>
      <c r="AB29" s="395">
        <f>Яро!D15</f>
        <v>1.86206</v>
      </c>
      <c r="AC29" s="184">
        <f t="shared" si="22"/>
        <v>0.43506074766355141</v>
      </c>
      <c r="AD29" s="186">
        <f>Яро!C16</f>
        <v>1028</v>
      </c>
      <c r="AE29" s="186">
        <f>Яро!D16</f>
        <v>49.761310000000002</v>
      </c>
      <c r="AF29" s="184">
        <f t="shared" si="4"/>
        <v>4.8405943579766539</v>
      </c>
      <c r="AG29" s="184">
        <f>Яро!C18</f>
        <v>5</v>
      </c>
      <c r="AH29" s="184">
        <f>Яро!D18</f>
        <v>1.5</v>
      </c>
      <c r="AI29" s="184">
        <f t="shared" si="23"/>
        <v>30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300</v>
      </c>
      <c r="AQ29" s="433">
        <f>Яро!D27</f>
        <v>24.88918</v>
      </c>
      <c r="AR29" s="184">
        <f t="shared" si="24"/>
        <v>8.2963933333333344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227">
        <f>Яро!D29</f>
        <v>5.093</v>
      </c>
      <c r="BA29" s="184" t="e">
        <f t="shared" si="27"/>
        <v>#DIV/0!</v>
      </c>
      <c r="BB29" s="184"/>
      <c r="BC29" s="184"/>
      <c r="BD29" s="184"/>
      <c r="BE29" s="184">
        <f>Яро!C33</f>
        <v>175.22727</v>
      </c>
      <c r="BF29" s="184">
        <f>Яро!D31</f>
        <v>6.399</v>
      </c>
      <c r="BG29" s="184">
        <f t="shared" si="28"/>
        <v>3.6518288506121226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9256.0466799999995</v>
      </c>
      <c r="CA29" s="186">
        <f t="shared" si="35"/>
        <v>347.10368</v>
      </c>
      <c r="CB29" s="184">
        <f t="shared" si="53"/>
        <v>3.7500208458326405</v>
      </c>
      <c r="CC29" s="187">
        <f>Яро!C39</f>
        <v>550.70000000000005</v>
      </c>
      <c r="CD29" s="187">
        <f>Яро!D39</f>
        <v>91.784000000000006</v>
      </c>
      <c r="CE29" s="184">
        <f t="shared" si="36"/>
        <v>16.666787724713998</v>
      </c>
      <c r="CF29" s="184">
        <f>Яро!C40</f>
        <v>3500</v>
      </c>
      <c r="CG29" s="184">
        <f>Яро!D40</f>
        <v>0</v>
      </c>
      <c r="CH29" s="184">
        <f t="shared" si="37"/>
        <v>0</v>
      </c>
      <c r="CI29" s="184">
        <f>Яро!C41</f>
        <v>4871.8450000000003</v>
      </c>
      <c r="CJ29" s="184">
        <f>Яро!D41</f>
        <v>0</v>
      </c>
      <c r="CK29" s="184">
        <f t="shared" si="7"/>
        <v>0</v>
      </c>
      <c r="CL29" s="184">
        <f>Яро!C42</f>
        <v>93.018000000000001</v>
      </c>
      <c r="CM29" s="184">
        <f>Яро!D42</f>
        <v>14.836</v>
      </c>
      <c r="CN29" s="184">
        <f t="shared" si="8"/>
        <v>15.949601152465116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396">
        <f>Яро!C45</f>
        <v>240.48367999999999</v>
      </c>
      <c r="CS29" s="184">
        <f>Яро!D45</f>
        <v>240.48367999999999</v>
      </c>
      <c r="CT29" s="184">
        <f t="shared" si="9"/>
        <v>100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8">
        <f t="shared" si="39"/>
        <v>11711.751670000001</v>
      </c>
      <c r="DH29" s="188">
        <f t="shared" si="39"/>
        <v>438.11126000000002</v>
      </c>
      <c r="DI29" s="184">
        <f t="shared" si="40"/>
        <v>3.7407833801858601</v>
      </c>
      <c r="DJ29" s="186">
        <f t="shared" si="41"/>
        <v>1294.6619999999998</v>
      </c>
      <c r="DK29" s="186">
        <f t="shared" si="41"/>
        <v>133.49656999999999</v>
      </c>
      <c r="DL29" s="184">
        <f t="shared" si="42"/>
        <v>10.311306734885244</v>
      </c>
      <c r="DM29" s="184">
        <f>Яро!C55</f>
        <v>1286.5719999999999</v>
      </c>
      <c r="DN29" s="184">
        <f>Яро!D55</f>
        <v>130.40707</v>
      </c>
      <c r="DO29" s="184">
        <f t="shared" si="43"/>
        <v>10.1360102660403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3.09</v>
      </c>
      <c r="DW29" s="184">
        <f>Яро!D60</f>
        <v>3.0895000000000001</v>
      </c>
      <c r="DX29" s="184">
        <f t="shared" si="46"/>
        <v>99.983818770226549</v>
      </c>
      <c r="DY29" s="184">
        <f>Яро!C61</f>
        <v>89.944999999999993</v>
      </c>
      <c r="DZ29" s="184">
        <f>Яро!D61</f>
        <v>9.34328</v>
      </c>
      <c r="EA29" s="184">
        <f t="shared" si="47"/>
        <v>10.387770304074714</v>
      </c>
      <c r="EB29" s="184">
        <f>Яро!C63</f>
        <v>14</v>
      </c>
      <c r="EC29" s="184">
        <f>Яро!D63</f>
        <v>3.1354299999999999</v>
      </c>
      <c r="ED29" s="184">
        <f t="shared" si="48"/>
        <v>22.395928571428573</v>
      </c>
      <c r="EE29" s="186">
        <f>Яро!C69</f>
        <v>3240.57629</v>
      </c>
      <c r="EF29" s="186">
        <f>Яро!D69</f>
        <v>78.018389999999997</v>
      </c>
      <c r="EG29" s="184">
        <f t="shared" si="49"/>
        <v>2.407546776193934</v>
      </c>
      <c r="EH29" s="186">
        <f>Яро!C74</f>
        <v>235.28959</v>
      </c>
      <c r="EI29" s="186">
        <f>Яро!D74</f>
        <v>127.83259</v>
      </c>
      <c r="EJ29" s="184">
        <f t="shared" si="50"/>
        <v>54.329896193027494</v>
      </c>
      <c r="EK29" s="186">
        <f>Яро!C79</f>
        <v>6835.2787900000003</v>
      </c>
      <c r="EL29" s="190">
        <f>Яро!D78</f>
        <v>85</v>
      </c>
      <c r="EM29" s="184">
        <f t="shared" si="10"/>
        <v>1.2435483995818113</v>
      </c>
      <c r="EN29" s="184">
        <f>Яро!C80</f>
        <v>0</v>
      </c>
      <c r="EO29" s="184">
        <f>Яро!D80</f>
        <v>0</v>
      </c>
      <c r="EP29" s="184" t="e">
        <f t="shared" si="11"/>
        <v>#DIV/0!</v>
      </c>
      <c r="EQ29" s="185">
        <f>Яро!C85</f>
        <v>2</v>
      </c>
      <c r="ER29" s="185">
        <f>Яро!D85</f>
        <v>1.2849999999999999</v>
      </c>
      <c r="ES29" s="184">
        <f t="shared" si="51"/>
        <v>64.25</v>
      </c>
      <c r="ET29" s="184">
        <f>Яро!C91</f>
        <v>0</v>
      </c>
      <c r="EU29" s="184">
        <f>Яро!D91</f>
        <v>0</v>
      </c>
      <c r="EV29" s="184" t="e">
        <f t="shared" si="52"/>
        <v>#DIV/0!</v>
      </c>
      <c r="EW29" s="191">
        <f t="shared" si="12"/>
        <v>17.591279999996914</v>
      </c>
      <c r="EX29" s="191">
        <f t="shared" si="13"/>
        <v>98.781049999999937</v>
      </c>
      <c r="EY29" s="184">
        <f t="shared" si="54"/>
        <v>561.53418057138117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6"/>
      <c r="E30" s="184"/>
      <c r="F30" s="185"/>
      <c r="G30" s="186"/>
      <c r="H30" s="184"/>
      <c r="I30" s="186"/>
      <c r="J30" s="203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6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227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396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5.75">
      <c r="A31" s="525" t="s">
        <v>180</v>
      </c>
      <c r="B31" s="526"/>
      <c r="C31" s="287">
        <f>SUM(C14:C29)</f>
        <v>114331.11476</v>
      </c>
      <c r="D31" s="287">
        <f>SUM(D14:D29)</f>
        <v>9916.9025999999994</v>
      </c>
      <c r="E31" s="204">
        <f>D31/C31*100</f>
        <v>8.6738440544529158</v>
      </c>
      <c r="F31" s="399">
        <f>SUM(F14:F29)</f>
        <v>39284.527269999999</v>
      </c>
      <c r="G31" s="367">
        <f>SUM(G14:G29)</f>
        <v>3988.4219199999998</v>
      </c>
      <c r="H31" s="238">
        <f>G31/F31*100</f>
        <v>10.15265346732528</v>
      </c>
      <c r="I31" s="367">
        <f>SUM(I14:I29)</f>
        <v>5296.6999999999989</v>
      </c>
      <c r="J31" s="367">
        <f>SUM(J14:J29)</f>
        <v>733.00216999999998</v>
      </c>
      <c r="K31" s="238">
        <f>J31/I31*100</f>
        <v>13.838846262767385</v>
      </c>
      <c r="L31" s="238">
        <f>SUM(L14:L29)</f>
        <v>3048.8849999999993</v>
      </c>
      <c r="M31" s="491">
        <f>SUM(M14:M29)</f>
        <v>737.52859999999998</v>
      </c>
      <c r="N31" s="238">
        <f>M31/L31*100</f>
        <v>24.190108843068863</v>
      </c>
      <c r="O31" s="238">
        <f>SUM(O14:O29)</f>
        <v>32.633000000000003</v>
      </c>
      <c r="P31" s="238">
        <f>SUM(P14:P29)</f>
        <v>5.0042400000000002</v>
      </c>
      <c r="Q31" s="238">
        <f>P31/O31*100</f>
        <v>15.334906383109123</v>
      </c>
      <c r="R31" s="238">
        <f>SUM(R14:R29)</f>
        <v>5092.3970000000008</v>
      </c>
      <c r="S31" s="238">
        <f>SUM(S14:S29)</f>
        <v>1083.2829700000002</v>
      </c>
      <c r="T31" s="238">
        <f>S31/R31*100</f>
        <v>21.272555340834582</v>
      </c>
      <c r="U31" s="238">
        <f>SUM(U14:U29)</f>
        <v>0</v>
      </c>
      <c r="V31" s="398">
        <f>SUM(V14:V29)</f>
        <v>-160.67634000000001</v>
      </c>
      <c r="W31" s="238" t="e">
        <f>V31/U31*100</f>
        <v>#DIV/0!</v>
      </c>
      <c r="X31" s="235">
        <f>SUM(X14:X29)</f>
        <v>470</v>
      </c>
      <c r="Y31" s="235">
        <f>SUM(Y14:Y29)</f>
        <v>22.887069999999998</v>
      </c>
      <c r="Z31" s="238">
        <f>Y31/X31*100</f>
        <v>4.8695893617021273</v>
      </c>
      <c r="AA31" s="235">
        <f>SUM(AA14:AA29)</f>
        <v>5031</v>
      </c>
      <c r="AB31" s="235">
        <f>SUM(AB14:AB29)</f>
        <v>150.52558000000002</v>
      </c>
      <c r="AC31" s="238">
        <f>AB31/AA31*100</f>
        <v>2.9919614390777185</v>
      </c>
      <c r="AD31" s="235">
        <f>SUM(AD14:AD29)</f>
        <v>17575</v>
      </c>
      <c r="AE31" s="235">
        <f>SUM(AE14:AE29)</f>
        <v>1141.7192999999997</v>
      </c>
      <c r="AF31" s="238">
        <f>AE31/AD31*100</f>
        <v>6.4962691322901831</v>
      </c>
      <c r="AG31" s="359">
        <f>SUM(AG14:AG29)</f>
        <v>147</v>
      </c>
      <c r="AH31" s="238">
        <f>SUM(AH14:AH29)</f>
        <v>14.459999999999997</v>
      </c>
      <c r="AI31" s="184">
        <f t="shared" si="23"/>
        <v>9.8367346938775491</v>
      </c>
      <c r="AJ31" s="235">
        <f>AJ14+AJ15+AJ16+AJ17+AJ18+AJ19+AJ20+AJ21+AJ22+AJ23+AJ24+AJ25+AJ26+AJ27+AJ28+AJ29</f>
        <v>0</v>
      </c>
      <c r="AK31" s="235">
        <f>AK14+AK15+AK16+AK17+AK18+AK19+AK20+AK21+AK22+AK23+AK24+AK25+AK26+AK27+AK28+AK29</f>
        <v>0</v>
      </c>
      <c r="AL31" s="184" t="e">
        <f>AK31/AJ31*100</f>
        <v>#DIV/0!</v>
      </c>
      <c r="AM31" s="235">
        <f>SUM(AM14:AM29)</f>
        <v>0</v>
      </c>
      <c r="AN31" s="235">
        <f>SUM(AN14:AN29)</f>
        <v>0</v>
      </c>
      <c r="AO31" s="238" t="e">
        <f>AN31/AM31*100</f>
        <v>#DIV/0!</v>
      </c>
      <c r="AP31" s="235">
        <f>SUM(AP14:AP29)</f>
        <v>1611.4</v>
      </c>
      <c r="AQ31" s="436">
        <f>SUM(AQ14:AQ29)</f>
        <v>72.138999999999996</v>
      </c>
      <c r="AR31" s="238">
        <f>AQ31/AP31*100</f>
        <v>4.4767903686235568</v>
      </c>
      <c r="AS31" s="235">
        <f>SUM(AS14:AS29)</f>
        <v>243.7</v>
      </c>
      <c r="AT31" s="367">
        <f>SUM(AT14:AT29)</f>
        <v>67.404659999999993</v>
      </c>
      <c r="AU31" s="238">
        <f>AT31/AS31*100</f>
        <v>27.658867459991793</v>
      </c>
      <c r="AV31" s="235">
        <f>SUM(AV14:AV29)</f>
        <v>0</v>
      </c>
      <c r="AW31" s="235">
        <f>SUM(AW14:AW29)</f>
        <v>0</v>
      </c>
      <c r="AX31" s="238" t="e">
        <f>AW31/AV31*100</f>
        <v>#DIV/0!</v>
      </c>
      <c r="AY31" s="238">
        <f>SUM(AY14:AY29)</f>
        <v>130</v>
      </c>
      <c r="AZ31" s="238">
        <f>SUM(AZ14:AZ29)</f>
        <v>80.516080000000002</v>
      </c>
      <c r="BA31" s="184">
        <f t="shared" si="27"/>
        <v>61.935446153846151</v>
      </c>
      <c r="BB31" s="184">
        <f>SUM(BB14:BB29)</f>
        <v>0</v>
      </c>
      <c r="BC31" s="184">
        <f>SUM(BC14:BC29)</f>
        <v>6.3845299999999998</v>
      </c>
      <c r="BD31" s="184" t="e">
        <f>BC31/BB31*100</f>
        <v>#DIV/0!</v>
      </c>
      <c r="BE31" s="236">
        <f>SUM(BE14:BE29)</f>
        <v>605.81227000000001</v>
      </c>
      <c r="BF31" s="235">
        <f>SUM(BF14:BF29)</f>
        <v>6.399</v>
      </c>
      <c r="BG31" s="235">
        <f t="shared" si="28"/>
        <v>1.0562678104885528</v>
      </c>
      <c r="BH31" s="235">
        <f>SUM(BH14:BH29)</f>
        <v>0</v>
      </c>
      <c r="BI31" s="235">
        <f>SUM(BI14:BI29)</f>
        <v>0</v>
      </c>
      <c r="BJ31" s="238" t="e">
        <f>BI31/BH31*100</f>
        <v>#DIV/0!</v>
      </c>
      <c r="BK31" s="238">
        <f>SUM(BK14:BK29)</f>
        <v>0</v>
      </c>
      <c r="BL31" s="238">
        <f>BL15+BL27+BL28+BL19+BL22+BL26+BL18</f>
        <v>0</v>
      </c>
      <c r="BM31" s="238" t="e">
        <f>BL31/BK31*100</f>
        <v>#DIV/0!</v>
      </c>
      <c r="BN31" s="238">
        <f>BN14+BN15+BN16+BN17+BN18+BN19+BN20+BN21+BN22+BN23+BN24+BN25+BN26+BN27+BN28+BN29</f>
        <v>0</v>
      </c>
      <c r="BO31" s="238">
        <f>BO14+BO15+BO16+BO17+BO18+BO19+BO20+BO21+BO22+BO23+BO24+BO25+BO26+BO27+BO28+BO29</f>
        <v>38.87959</v>
      </c>
      <c r="BP31" s="238" t="e">
        <f>BO31/BN31*100</f>
        <v>#DIV/0!</v>
      </c>
      <c r="BQ31" s="235">
        <f>SUM(BQ14:BQ29)</f>
        <v>0</v>
      </c>
      <c r="BR31" s="355">
        <f>SUM(BR14:BR29)</f>
        <v>-4.6500000000000004</v>
      </c>
      <c r="BS31" s="238" t="e">
        <f>BR31/BQ31*100</f>
        <v>#DIV/0!</v>
      </c>
      <c r="BT31" s="238">
        <f t="shared" ref="BT31:BY31" si="55">SUM(BT14:BT29)</f>
        <v>0</v>
      </c>
      <c r="BU31" s="238"/>
      <c r="BV31" s="238" t="e">
        <f t="shared" si="55"/>
        <v>#DIV/0!</v>
      </c>
      <c r="BW31" s="238">
        <f t="shared" si="55"/>
        <v>0</v>
      </c>
      <c r="BX31" s="238">
        <f t="shared" si="55"/>
        <v>0</v>
      </c>
      <c r="BY31" s="289" t="e">
        <f t="shared" si="55"/>
        <v>#DIV/0!</v>
      </c>
      <c r="BZ31" s="236">
        <f>SUM(BZ14:BZ29)</f>
        <v>75046.587490000005</v>
      </c>
      <c r="CA31" s="235">
        <f>SUM(CA14:CA29)</f>
        <v>5928.4806800000015</v>
      </c>
      <c r="CB31" s="235">
        <f t="shared" si="53"/>
        <v>7.8997338563728494</v>
      </c>
      <c r="CC31" s="235">
        <f>SUM(CC14:CC29)</f>
        <v>28294.000000000004</v>
      </c>
      <c r="CD31" s="235">
        <f>SUM(CD14:CD29)</f>
        <v>4715.5659999999998</v>
      </c>
      <c r="CE31" s="235">
        <f>CD31/CC31*100</f>
        <v>16.66631087863151</v>
      </c>
      <c r="CF31" s="399">
        <f>SUM(CF14:CF29)</f>
        <v>5014</v>
      </c>
      <c r="CG31" s="444">
        <f>SUM(CG14:CG29)</f>
        <v>0</v>
      </c>
      <c r="CH31" s="235">
        <f>CG31/CF31*100</f>
        <v>0</v>
      </c>
      <c r="CI31" s="235">
        <f>SUM(CI14:CI29)</f>
        <v>36145.425360000001</v>
      </c>
      <c r="CJ31" s="235">
        <f>SUM(CJ14:CJ29)</f>
        <v>0</v>
      </c>
      <c r="CK31" s="235">
        <f>CJ31/CI31*100</f>
        <v>0</v>
      </c>
      <c r="CL31" s="235">
        <f>SUM(CL14:CL29)</f>
        <v>2201.1</v>
      </c>
      <c r="CM31" s="235">
        <f>SUM(CM14:CM29)</f>
        <v>356</v>
      </c>
      <c r="CN31" s="235">
        <f t="shared" si="8"/>
        <v>16.173731316160104</v>
      </c>
      <c r="CO31" s="235">
        <f>SUM(CO14:CO29)</f>
        <v>76.63812999999999</v>
      </c>
      <c r="CP31" s="235">
        <f>SUM(CP14:CP29)</f>
        <v>0</v>
      </c>
      <c r="CQ31" s="235">
        <f>CP31/CO31*100</f>
        <v>0</v>
      </c>
      <c r="CR31" s="367">
        <f>SUM(CR14:CR29)</f>
        <v>3315.424</v>
      </c>
      <c r="CS31" s="235">
        <f>SUM(CS14:CS29)</f>
        <v>856.91468000000009</v>
      </c>
      <c r="CT31" s="235">
        <f t="shared" si="9"/>
        <v>25.84630744061695</v>
      </c>
      <c r="CU31" s="235">
        <f>SUM(CU14:CU29)</f>
        <v>0</v>
      </c>
      <c r="CV31" s="235">
        <f>SUM(CV14:CV29)</f>
        <v>0</v>
      </c>
      <c r="CW31" s="235" t="e">
        <f>CV31/CU31*100</f>
        <v>#DIV/0!</v>
      </c>
      <c r="CX31" s="235">
        <f>SUM(CX14:CX29)</f>
        <v>0</v>
      </c>
      <c r="CY31" s="235">
        <f>SUM(CY14:CY29)</f>
        <v>0</v>
      </c>
      <c r="CZ31" s="238" t="e">
        <f>CY31/CX31*100</f>
        <v>#DIV/0!</v>
      </c>
      <c r="DA31" s="238">
        <f>DA14+DA15+DA16+DA17+DA18+DA19+DA20+DA21+DA22+DA23+DA24+DA25+DA26+DA27+DA28+DA29</f>
        <v>0</v>
      </c>
      <c r="DB31" s="238">
        <f>DB14+DB15+DB16+DB17+DB18+DB19+DB20+DB21+DB22+DB23+DB24+DB25+DB26+DB27+DB28+DB29</f>
        <v>0</v>
      </c>
      <c r="DC31" s="238" t="e">
        <f>DB31/DA31*100</f>
        <v>#DIV/0!</v>
      </c>
      <c r="DD31" s="238">
        <f>DD14+DD15+DD16+DD17+DD18+DD19+DD20+DD21+DD22+DD23+DD24+DD25+DD26+DD27+DD28+DD29</f>
        <v>0</v>
      </c>
      <c r="DE31" s="238">
        <f>DE14+DE15+DE16+DE17+DE18+DE19+DE20+DE21+DE22+DE23+DE24+DE25+DE26+DE27+DE28+DE29</f>
        <v>0</v>
      </c>
      <c r="DF31" s="238">
        <v>0</v>
      </c>
      <c r="DG31" s="236">
        <f>SUM(DG14:DG29)</f>
        <v>119090.27473</v>
      </c>
      <c r="DH31" s="236">
        <f>SUM(DH14:DH29)</f>
        <v>7802.156329999998</v>
      </c>
      <c r="DI31" s="238">
        <f>DH31/DG31*100</f>
        <v>6.5514638770369364</v>
      </c>
      <c r="DJ31" s="236">
        <f>SUM(DJ14:DJ29)</f>
        <v>21912.311999999998</v>
      </c>
      <c r="DK31" s="236">
        <f>SUM(DK14:DK29)</f>
        <v>2270.8410699999999</v>
      </c>
      <c r="DL31" s="238">
        <f>DK31/DJ31*100</f>
        <v>10.363311137592419</v>
      </c>
      <c r="DM31" s="235">
        <f>SUM(DM14:DM29)</f>
        <v>21499.286</v>
      </c>
      <c r="DN31" s="236">
        <f>SUM(DN14:DN29)</f>
        <v>2193.89057</v>
      </c>
      <c r="DO31" s="238">
        <f>DN31/DM31*100</f>
        <v>10.204481069743432</v>
      </c>
      <c r="DP31" s="235">
        <f>SUM(DP14:DP29)</f>
        <v>0</v>
      </c>
      <c r="DQ31" s="235">
        <f>SUM(DQ14:DQ29)</f>
        <v>0</v>
      </c>
      <c r="DR31" s="238" t="e">
        <f>DQ31/DP31*100</f>
        <v>#DIV/0!</v>
      </c>
      <c r="DS31" s="253">
        <f>SUM(DS14:DS29)</f>
        <v>80</v>
      </c>
      <c r="DT31" s="238">
        <f>SUM(DT14:DT29)</f>
        <v>0</v>
      </c>
      <c r="DU31" s="238">
        <f>DT31/DS31*100</f>
        <v>0</v>
      </c>
      <c r="DV31" s="360">
        <f>SUM(DV14:DV29)</f>
        <v>333.02599999999995</v>
      </c>
      <c r="DW31" s="238">
        <f>SUM(DW14:DW29)</f>
        <v>76.950499999999991</v>
      </c>
      <c r="DX31" s="184">
        <f>DW31/DV31*100</f>
        <v>23.106454150726972</v>
      </c>
      <c r="DY31" s="238">
        <f>SUM(DY14:DY29)</f>
        <v>2158.6999999999998</v>
      </c>
      <c r="DZ31" s="253">
        <f>SUM(DZ14:DZ29)</f>
        <v>225.51337999999998</v>
      </c>
      <c r="EA31" s="235">
        <f t="shared" si="47"/>
        <v>10.446721638022884</v>
      </c>
      <c r="EB31" s="253">
        <f>SUM(EB14:EB29)</f>
        <v>161.375</v>
      </c>
      <c r="EC31" s="253">
        <f>SUM(EC14:EC29)</f>
        <v>8.1604299999999999</v>
      </c>
      <c r="ED31" s="184">
        <f t="shared" si="48"/>
        <v>5.0568117738187448</v>
      </c>
      <c r="EE31" s="235">
        <f>SUM(EE14:EE29)</f>
        <v>41781.398359999992</v>
      </c>
      <c r="EF31" s="236">
        <f>SUM(EF14:EF29)</f>
        <v>650.97671999999989</v>
      </c>
      <c r="EG31" s="238">
        <f>EF31/EE31*100</f>
        <v>1.5580539320177986</v>
      </c>
      <c r="EH31" s="355">
        <f>SUM(EH14:EH29)</f>
        <v>19039.05774</v>
      </c>
      <c r="EI31" s="236">
        <f>SUM(EI14:EI29)</f>
        <v>705.98099999999999</v>
      </c>
      <c r="EJ31" s="238">
        <f>EI31/EH31*100</f>
        <v>3.7080669098280699</v>
      </c>
      <c r="EK31" s="445">
        <f>SUM(EK14:EK29)</f>
        <v>33874.519630000003</v>
      </c>
      <c r="EL31" s="236">
        <f>SUM(EL14:EL29)</f>
        <v>3926.1297299999997</v>
      </c>
      <c r="EM31" s="238">
        <f>EL31/EK31*100</f>
        <v>11.590215220418756</v>
      </c>
      <c r="EN31" s="236">
        <f>SUM(EN14:EN29)</f>
        <v>0</v>
      </c>
      <c r="EO31" s="236">
        <f>SUM(EO14:EO29)</f>
        <v>0</v>
      </c>
      <c r="EP31" s="238" t="e">
        <f>EO31/EN31*100</f>
        <v>#DIV/0!</v>
      </c>
      <c r="EQ31" s="235">
        <f>SUM(EQ14:EQ29)</f>
        <v>162.91200000000001</v>
      </c>
      <c r="ER31" s="235">
        <f>SUM(ER14:ER29)</f>
        <v>14.554</v>
      </c>
      <c r="ES31" s="238">
        <f>ER31/EQ31*100</f>
        <v>8.9336574346886657</v>
      </c>
      <c r="ET31" s="238">
        <f>SUM(ET14:ET29)</f>
        <v>0</v>
      </c>
      <c r="EU31" s="288">
        <f>SUM(EU14:EU29)</f>
        <v>0</v>
      </c>
      <c r="EV31" s="184" t="e">
        <f>EU31/ET31*100</f>
        <v>#DIV/0!</v>
      </c>
      <c r="EW31" s="253">
        <f>SUM(EW14:EW29)</f>
        <v>-4759.1599700000061</v>
      </c>
      <c r="EX31" s="238">
        <f>SUM(EX14:EX29)</f>
        <v>2114.7462699999996</v>
      </c>
      <c r="EY31" s="184">
        <f>EX31/EW31*100</f>
        <v>-44.435284447897992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4" hidden="1" customHeight="1">
      <c r="C33" s="209">
        <f>C32-C31</f>
        <v>-28908.345759999997</v>
      </c>
      <c r="D33" s="209">
        <f t="shared" ref="D33:BO33" si="56">D32-D31</f>
        <v>-2945.0299999999997</v>
      </c>
      <c r="E33" s="209"/>
      <c r="F33" s="209">
        <f t="shared" si="56"/>
        <v>-9570.5272699999987</v>
      </c>
      <c r="G33" s="209">
        <f t="shared" si="56"/>
        <v>-1847.3203199999998</v>
      </c>
      <c r="H33" s="209"/>
      <c r="I33" s="209">
        <f t="shared" si="56"/>
        <v>-1273.6999999999989</v>
      </c>
      <c r="J33" s="209">
        <f t="shared" si="56"/>
        <v>-215.16898000000003</v>
      </c>
      <c r="K33" s="209"/>
      <c r="L33" s="209">
        <f t="shared" si="56"/>
        <v>-400.58499999999913</v>
      </c>
      <c r="M33" s="209">
        <f t="shared" si="56"/>
        <v>-462.24865999999997</v>
      </c>
      <c r="N33" s="209"/>
      <c r="O33" s="209">
        <f t="shared" si="56"/>
        <v>39.427</v>
      </c>
      <c r="P33" s="209">
        <f t="shared" si="56"/>
        <v>0.58769999999999989</v>
      </c>
      <c r="Q33" s="209"/>
      <c r="R33" s="209">
        <f t="shared" si="56"/>
        <v>193.04299999999876</v>
      </c>
      <c r="S33" s="209">
        <f t="shared" si="56"/>
        <v>-645.63854000000015</v>
      </c>
      <c r="T33" s="209"/>
      <c r="U33" s="209">
        <f t="shared" si="56"/>
        <v>0</v>
      </c>
      <c r="V33" s="209">
        <f t="shared" si="56"/>
        <v>103.30983000000001</v>
      </c>
      <c r="W33" s="209" t="e">
        <f t="shared" si="56"/>
        <v>#DIV/0!</v>
      </c>
      <c r="X33" s="209">
        <f t="shared" si="56"/>
        <v>-20</v>
      </c>
      <c r="Y33" s="209">
        <f t="shared" si="56"/>
        <v>27.685060000000004</v>
      </c>
      <c r="Z33" s="209"/>
      <c r="AA33" s="209">
        <f t="shared" si="56"/>
        <v>-3479</v>
      </c>
      <c r="AB33" s="209">
        <f t="shared" si="56"/>
        <v>-116.59582000000002</v>
      </c>
      <c r="AC33" s="209"/>
      <c r="AD33" s="209">
        <f t="shared" si="56"/>
        <v>-3261</v>
      </c>
      <c r="AE33" s="209">
        <f t="shared" si="56"/>
        <v>-376.45195999999976</v>
      </c>
      <c r="AF33" s="209"/>
      <c r="AG33" s="209">
        <f t="shared" si="56"/>
        <v>117</v>
      </c>
      <c r="AH33" s="209">
        <f t="shared" si="56"/>
        <v>13.990000000000002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-1211.4000000000001</v>
      </c>
      <c r="AQ33" s="209">
        <f t="shared" si="56"/>
        <v>29.861000000000004</v>
      </c>
      <c r="AR33" s="209"/>
      <c r="AS33" s="209">
        <f t="shared" si="56"/>
        <v>81.5</v>
      </c>
      <c r="AT33" s="209">
        <f t="shared" si="56"/>
        <v>146.59534000000002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-130</v>
      </c>
      <c r="AZ33" s="209">
        <f t="shared" si="56"/>
        <v>-80.516080000000002</v>
      </c>
      <c r="BA33" s="209"/>
      <c r="BB33" s="209">
        <f t="shared" si="56"/>
        <v>0</v>
      </c>
      <c r="BC33" s="209">
        <f t="shared" si="56"/>
        <v>-6.3845299999999998</v>
      </c>
      <c r="BD33" s="209" t="e">
        <f t="shared" si="56"/>
        <v>#DIV/0!</v>
      </c>
      <c r="BE33" s="209">
        <f t="shared" si="56"/>
        <v>-225.81227000000001</v>
      </c>
      <c r="BF33" s="209">
        <f t="shared" si="56"/>
        <v>-6.399</v>
      </c>
      <c r="BG33" s="209">
        <f t="shared" si="56"/>
        <v>-1.0562678104885528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0</v>
      </c>
      <c r="BO33" s="209">
        <f t="shared" si="56"/>
        <v>-18.87959</v>
      </c>
      <c r="BP33" s="209"/>
      <c r="BQ33" s="209">
        <f t="shared" ref="BQ33:DZ33" si="57">BQ32-BQ31</f>
        <v>0</v>
      </c>
      <c r="BR33" s="209">
        <f t="shared" si="57"/>
        <v>18.46555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-19337.818490000005</v>
      </c>
      <c r="CA33" s="209">
        <f t="shared" si="57"/>
        <v>-1097.7096800000018</v>
      </c>
      <c r="CB33" s="209"/>
      <c r="CC33" s="209">
        <f t="shared" si="57"/>
        <v>-2100.6000000000022</v>
      </c>
      <c r="CD33" s="209">
        <f t="shared" si="57"/>
        <v>-349.98300000000017</v>
      </c>
      <c r="CE33" s="209"/>
      <c r="CF33" s="209">
        <f t="shared" si="57"/>
        <v>-2214</v>
      </c>
      <c r="CG33" s="209">
        <f t="shared" si="57"/>
        <v>0</v>
      </c>
      <c r="CH33" s="209"/>
      <c r="CI33" s="209">
        <f t="shared" si="57"/>
        <v>-15157.13636</v>
      </c>
      <c r="CJ33" s="209">
        <f t="shared" si="57"/>
        <v>226.78800000000001</v>
      </c>
      <c r="CK33" s="209"/>
      <c r="CL33" s="209">
        <f t="shared" si="57"/>
        <v>3525.98</v>
      </c>
      <c r="CM33" s="209">
        <f t="shared" si="57"/>
        <v>-117.6</v>
      </c>
      <c r="CN33" s="209"/>
      <c r="CO33" s="209">
        <f t="shared" si="57"/>
        <v>-76.63812999999999</v>
      </c>
      <c r="CP33" s="209">
        <f t="shared" si="57"/>
        <v>0</v>
      </c>
      <c r="CQ33" s="209"/>
      <c r="CR33" s="209">
        <f t="shared" si="57"/>
        <v>-3315.424</v>
      </c>
      <c r="CS33" s="209">
        <f t="shared" si="57"/>
        <v>-856.91468000000009</v>
      </c>
      <c r="CT33" s="209"/>
      <c r="CU33" s="209">
        <f t="shared" si="57"/>
        <v>0</v>
      </c>
      <c r="CV33" s="209">
        <f t="shared" si="57"/>
        <v>0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-32622.655729999999</v>
      </c>
      <c r="DH33" s="209">
        <f t="shared" si="57"/>
        <v>242.15763000000243</v>
      </c>
      <c r="DI33" s="209"/>
      <c r="DJ33" s="209">
        <f t="shared" si="57"/>
        <v>-3253.025999999998</v>
      </c>
      <c r="DK33" s="209">
        <f t="shared" si="57"/>
        <v>-277.18686000000002</v>
      </c>
      <c r="DL33" s="209"/>
      <c r="DM33" s="209">
        <f t="shared" si="57"/>
        <v>-2920</v>
      </c>
      <c r="DN33" s="209">
        <f t="shared" si="57"/>
        <v>-200.2363600000001</v>
      </c>
      <c r="DO33" s="209"/>
      <c r="DP33" s="209">
        <f t="shared" si="57"/>
        <v>0</v>
      </c>
      <c r="DQ33" s="209">
        <f t="shared" si="57"/>
        <v>0</v>
      </c>
      <c r="DR33" s="209" t="e">
        <f t="shared" si="57"/>
        <v>#DIV/0!</v>
      </c>
      <c r="DS33" s="209">
        <f t="shared" si="57"/>
        <v>0</v>
      </c>
      <c r="DT33" s="209">
        <f t="shared" si="57"/>
        <v>0</v>
      </c>
      <c r="DU33" s="209">
        <f t="shared" si="57"/>
        <v>0</v>
      </c>
      <c r="DV33" s="209">
        <f t="shared" si="57"/>
        <v>-333.02599999999995</v>
      </c>
      <c r="DW33" s="209">
        <f t="shared" si="57"/>
        <v>-76.950499999999991</v>
      </c>
      <c r="DX33" s="209"/>
      <c r="DY33" s="209">
        <f t="shared" si="57"/>
        <v>-476.19999999999982</v>
      </c>
      <c r="DZ33" s="209">
        <f t="shared" si="57"/>
        <v>-83.976779999999991</v>
      </c>
      <c r="EA33" s="209"/>
      <c r="EB33" s="209">
        <f t="shared" ref="EB33:EX33" si="58">EB32-EB31</f>
        <v>29.925000000000011</v>
      </c>
      <c r="EC33" s="209">
        <f t="shared" si="58"/>
        <v>0.33957000000000015</v>
      </c>
      <c r="ED33" s="209"/>
      <c r="EE33" s="209">
        <f t="shared" si="58"/>
        <v>-12393.009359999993</v>
      </c>
      <c r="EF33" s="209">
        <f t="shared" si="58"/>
        <v>426.73665000000005</v>
      </c>
      <c r="EG33" s="209"/>
      <c r="EH33" s="209">
        <f t="shared" si="58"/>
        <v>-3634.2457400000003</v>
      </c>
      <c r="EI33" s="209">
        <f t="shared" si="58"/>
        <v>622.95925000000011</v>
      </c>
      <c r="EJ33" s="209"/>
      <c r="EK33" s="209">
        <f t="shared" si="58"/>
        <v>-9745.8196300000018</v>
      </c>
      <c r="EL33" s="209">
        <f t="shared" si="58"/>
        <v>-436.95919999999978</v>
      </c>
      <c r="EM33" s="209"/>
      <c r="EN33" s="209">
        <f t="shared" si="58"/>
        <v>0</v>
      </c>
      <c r="EO33" s="209">
        <f t="shared" si="58"/>
        <v>0</v>
      </c>
      <c r="EP33" s="209"/>
      <c r="EQ33" s="209">
        <f t="shared" si="58"/>
        <v>-50.912000000000006</v>
      </c>
      <c r="ER33" s="209">
        <f t="shared" si="58"/>
        <v>-9.7540000000000013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4759.1599700000061</v>
      </c>
      <c r="EX33" s="209">
        <f t="shared" si="58"/>
        <v>-2114.7462699999996</v>
      </c>
      <c r="EY33" s="209"/>
    </row>
    <row r="34" spans="3:155" ht="26.25" customHeight="1">
      <c r="C34" s="153">
        <v>99789.987420000005</v>
      </c>
      <c r="D34" s="223">
        <v>4915.8261499999999</v>
      </c>
      <c r="F34" s="153">
        <v>40989.07879</v>
      </c>
      <c r="G34" s="153">
        <v>2380.04315</v>
      </c>
      <c r="I34" s="212">
        <v>5296.7</v>
      </c>
      <c r="J34" s="211">
        <v>276.67489</v>
      </c>
      <c r="L34" s="153">
        <v>3048.8850000000002</v>
      </c>
      <c r="M34" s="153">
        <v>406.27186</v>
      </c>
      <c r="O34" s="153">
        <v>32.24</v>
      </c>
      <c r="P34" s="153">
        <v>36.792310000000001</v>
      </c>
      <c r="R34" s="153">
        <v>5091.2667000000001</v>
      </c>
      <c r="S34" s="153">
        <v>5572.9574499999999</v>
      </c>
      <c r="U34" s="153">
        <v>0</v>
      </c>
      <c r="V34" s="153">
        <v>-855.96907999999996</v>
      </c>
      <c r="X34" s="153">
        <v>470</v>
      </c>
      <c r="Y34" s="209">
        <v>425.55243999999999</v>
      </c>
      <c r="AA34" s="153">
        <v>3021.4</v>
      </c>
      <c r="AB34" s="153">
        <v>3950.0036799999998</v>
      </c>
      <c r="AD34" s="153">
        <v>17949.2</v>
      </c>
      <c r="AE34" s="153">
        <v>17271.836920000002</v>
      </c>
      <c r="AG34" s="153">
        <v>162.00200000000001</v>
      </c>
      <c r="AH34" s="153">
        <v>149.37821</v>
      </c>
      <c r="AK34" s="153">
        <v>0</v>
      </c>
      <c r="AN34" s="209"/>
      <c r="AP34" s="153">
        <v>1611.4</v>
      </c>
      <c r="AQ34" s="153">
        <v>30.011389999999999</v>
      </c>
      <c r="AS34" s="153">
        <v>243.7</v>
      </c>
      <c r="AT34" s="153">
        <v>13.41733</v>
      </c>
      <c r="AY34" s="153">
        <v>0</v>
      </c>
      <c r="AZ34" s="153">
        <v>6.6837</v>
      </c>
      <c r="BE34" s="153">
        <v>2440.3637899999999</v>
      </c>
      <c r="BF34" s="153">
        <v>6.399</v>
      </c>
      <c r="BN34" s="153">
        <v>3.9539</v>
      </c>
      <c r="BO34" s="153">
        <v>48.393389999999997</v>
      </c>
      <c r="BR34" s="210">
        <v>-103.28801</v>
      </c>
      <c r="BZ34" s="153">
        <v>58800.908629999998</v>
      </c>
      <c r="CA34" s="153">
        <v>2535.7829999999999</v>
      </c>
      <c r="CC34" s="153">
        <v>28718.624</v>
      </c>
      <c r="CD34" s="153">
        <v>28718.624</v>
      </c>
      <c r="CF34" s="153">
        <v>6269.9521000000004</v>
      </c>
      <c r="CG34" s="153">
        <v>6269.9521000000004</v>
      </c>
      <c r="CI34" s="210">
        <v>28037.654859999999</v>
      </c>
      <c r="CJ34" s="153">
        <v>27622.658149999999</v>
      </c>
      <c r="CL34" s="153">
        <v>2124.3000000000002</v>
      </c>
      <c r="CM34" s="153">
        <v>2124.3000000000002</v>
      </c>
      <c r="CO34" s="153">
        <v>1006.06691</v>
      </c>
      <c r="CP34" s="153">
        <v>960</v>
      </c>
      <c r="CR34" s="153">
        <v>3214.2710000000002</v>
      </c>
      <c r="CS34" s="153">
        <v>4801.5048299999999</v>
      </c>
      <c r="CU34" s="153">
        <v>0</v>
      </c>
      <c r="CV34" s="153">
        <v>-488.56979000000001</v>
      </c>
      <c r="DG34" s="212">
        <v>112858.98794000001</v>
      </c>
      <c r="DH34" s="212">
        <v>108278.22908</v>
      </c>
      <c r="DI34" s="212"/>
      <c r="DJ34" s="212">
        <v>23034.230220000001</v>
      </c>
      <c r="DK34" s="212">
        <v>22358.213759999999</v>
      </c>
      <c r="DL34" s="212"/>
      <c r="DM34" s="212">
        <v>22586.01872</v>
      </c>
      <c r="DN34" s="212">
        <v>22001.032299999999</v>
      </c>
      <c r="DO34" s="212"/>
      <c r="DP34" s="212">
        <v>168.8</v>
      </c>
      <c r="DQ34" s="212">
        <v>168.8</v>
      </c>
      <c r="DR34" s="212"/>
      <c r="DS34" s="212">
        <v>78.010000000000005</v>
      </c>
      <c r="DT34" s="212">
        <v>0</v>
      </c>
      <c r="DU34" s="212"/>
      <c r="DV34" s="212">
        <v>201.4015</v>
      </c>
      <c r="DW34" s="212">
        <v>188.38146</v>
      </c>
      <c r="DX34" s="212"/>
      <c r="DY34" s="212">
        <v>2049</v>
      </c>
      <c r="DZ34" s="212">
        <v>2049</v>
      </c>
      <c r="EA34" s="212"/>
      <c r="EB34" s="212">
        <v>377.04791</v>
      </c>
      <c r="EC34" s="212">
        <v>344.73154</v>
      </c>
      <c r="ED34" s="212"/>
      <c r="EE34" s="212">
        <v>35524.43995</v>
      </c>
      <c r="EF34" s="212">
        <v>33119.829539999999</v>
      </c>
      <c r="EG34" s="212"/>
      <c r="EH34" s="212">
        <v>19030.135760000001</v>
      </c>
      <c r="EI34" s="212">
        <v>18116.910820000001</v>
      </c>
      <c r="EJ34" s="212"/>
      <c r="EK34" s="212">
        <v>32642.129099999998</v>
      </c>
      <c r="EL34" s="212">
        <v>32101.003420000001</v>
      </c>
      <c r="EM34" s="212"/>
      <c r="EN34" s="212">
        <v>14</v>
      </c>
      <c r="EO34" s="212">
        <v>14</v>
      </c>
      <c r="EP34" s="212"/>
      <c r="EQ34" s="212">
        <v>188.005</v>
      </c>
      <c r="ER34" s="212">
        <v>174.54</v>
      </c>
      <c r="ES34" s="212"/>
      <c r="ET34" s="212">
        <v>0</v>
      </c>
      <c r="EU34" s="212">
        <v>0</v>
      </c>
      <c r="EV34" s="212"/>
      <c r="EW34" s="153">
        <v>-5262.1164699999999</v>
      </c>
      <c r="EX34" s="153">
        <v>944.07369000000006</v>
      </c>
    </row>
    <row r="35" spans="3:155" s="220" customFormat="1" ht="27.75" customHeight="1">
      <c r="C35" s="209">
        <v>114331.11476</v>
      </c>
      <c r="D35" s="209">
        <v>9916.9025999999994</v>
      </c>
      <c r="E35" s="209"/>
      <c r="F35" s="209">
        <v>39284.527269999999</v>
      </c>
      <c r="G35" s="209">
        <v>3988.4219199999998</v>
      </c>
      <c r="H35" s="209"/>
      <c r="I35" s="209">
        <v>5296.7</v>
      </c>
      <c r="J35" s="209">
        <v>733.00216999999998</v>
      </c>
      <c r="K35" s="209"/>
      <c r="L35" s="209">
        <v>3048.8850000000002</v>
      </c>
      <c r="M35" s="209">
        <v>737.52859999999998</v>
      </c>
      <c r="N35" s="209"/>
      <c r="O35" s="209">
        <v>32.633000000000003</v>
      </c>
      <c r="P35" s="209">
        <v>5.0042400000000002</v>
      </c>
      <c r="Q35" s="209"/>
      <c r="R35" s="209">
        <v>5092.3969999999999</v>
      </c>
      <c r="S35" s="209">
        <v>1083.28297</v>
      </c>
      <c r="T35" s="209"/>
      <c r="U35" s="209">
        <f t="shared" ref="U35:BM35" si="59">U34-U31</f>
        <v>0</v>
      </c>
      <c r="V35" s="209">
        <v>-160.67634000000001</v>
      </c>
      <c r="W35" s="209"/>
      <c r="X35" s="209">
        <v>470</v>
      </c>
      <c r="Y35" s="209">
        <v>22.887070000000001</v>
      </c>
      <c r="Z35" s="209"/>
      <c r="AA35" s="209">
        <v>5031</v>
      </c>
      <c r="AB35" s="209">
        <v>150.52557999999999</v>
      </c>
      <c r="AC35" s="209"/>
      <c r="AD35" s="209">
        <v>17575</v>
      </c>
      <c r="AE35" s="209">
        <v>1141.7193</v>
      </c>
      <c r="AF35" s="209"/>
      <c r="AG35" s="209">
        <v>147</v>
      </c>
      <c r="AH35" s="209">
        <v>14.46</v>
      </c>
      <c r="AI35" s="209"/>
      <c r="AJ35" s="209">
        <f t="shared" si="59"/>
        <v>0</v>
      </c>
      <c r="AK35" s="209">
        <f t="shared" si="59"/>
        <v>0</v>
      </c>
      <c r="AL35" s="209"/>
      <c r="AM35" s="209">
        <f t="shared" si="59"/>
        <v>0</v>
      </c>
      <c r="AN35" s="209">
        <f t="shared" si="59"/>
        <v>0</v>
      </c>
      <c r="AO35" s="209"/>
      <c r="AP35" s="209">
        <v>1611.4</v>
      </c>
      <c r="AQ35" s="209">
        <v>72.138999999999996</v>
      </c>
      <c r="AR35" s="209"/>
      <c r="AS35" s="209">
        <v>243.7</v>
      </c>
      <c r="AT35" s="209">
        <v>67.404660000000007</v>
      </c>
      <c r="AU35" s="209"/>
      <c r="AV35" s="209">
        <f t="shared" si="59"/>
        <v>0</v>
      </c>
      <c r="AW35" s="209">
        <f t="shared" si="59"/>
        <v>0</v>
      </c>
      <c r="AX35" s="209" t="e">
        <f t="shared" si="59"/>
        <v>#DIV/0!</v>
      </c>
      <c r="AY35" s="209">
        <v>130</v>
      </c>
      <c r="AZ35" s="209">
        <v>80.516080000000002</v>
      </c>
      <c r="BA35" s="209"/>
      <c r="BB35" s="209">
        <f t="shared" si="59"/>
        <v>0</v>
      </c>
      <c r="BC35" s="209">
        <f t="shared" si="59"/>
        <v>-6.3845299999999998</v>
      </c>
      <c r="BD35" s="209" t="e">
        <f t="shared" si="59"/>
        <v>#DIV/0!</v>
      </c>
      <c r="BE35" s="209">
        <v>605.81227000000001</v>
      </c>
      <c r="BF35" s="209">
        <v>6.399</v>
      </c>
      <c r="BG35" s="209"/>
      <c r="BH35" s="209">
        <f t="shared" si="59"/>
        <v>0</v>
      </c>
      <c r="BI35" s="209">
        <f t="shared" si="59"/>
        <v>0</v>
      </c>
      <c r="BJ35" s="209" t="e">
        <f t="shared" si="59"/>
        <v>#DIV/0!</v>
      </c>
      <c r="BK35" s="209">
        <f t="shared" si="59"/>
        <v>0</v>
      </c>
      <c r="BL35" s="209">
        <f t="shared" si="59"/>
        <v>0</v>
      </c>
      <c r="BM35" s="209" t="e">
        <f t="shared" si="59"/>
        <v>#DIV/0!</v>
      </c>
      <c r="BN35" s="209">
        <v>0</v>
      </c>
      <c r="BO35" s="209">
        <v>38.87959</v>
      </c>
      <c r="BP35" s="209"/>
      <c r="BQ35" s="209">
        <f t="shared" ref="BQ35:DT35" si="60">BQ34-BQ31</f>
        <v>0</v>
      </c>
      <c r="BR35" s="209">
        <v>-4.6500000000000004</v>
      </c>
      <c r="BS35" s="209"/>
      <c r="BT35" s="209">
        <f t="shared" si="60"/>
        <v>0</v>
      </c>
      <c r="BU35" s="209">
        <f t="shared" si="60"/>
        <v>0</v>
      </c>
      <c r="BV35" s="209" t="e">
        <f t="shared" si="60"/>
        <v>#DIV/0!</v>
      </c>
      <c r="BW35" s="209">
        <f t="shared" si="60"/>
        <v>0</v>
      </c>
      <c r="BX35" s="209">
        <f t="shared" si="60"/>
        <v>0</v>
      </c>
      <c r="BY35" s="209" t="e">
        <f t="shared" si="60"/>
        <v>#DIV/0!</v>
      </c>
      <c r="BZ35" s="209">
        <v>75046.587490000005</v>
      </c>
      <c r="CA35" s="209">
        <v>5928.4806799999997</v>
      </c>
      <c r="CB35" s="209"/>
      <c r="CC35" s="209">
        <v>28294</v>
      </c>
      <c r="CD35" s="209">
        <v>4715.5659999999998</v>
      </c>
      <c r="CE35" s="209"/>
      <c r="CF35" s="209">
        <v>5014</v>
      </c>
      <c r="CG35" s="209">
        <v>0</v>
      </c>
      <c r="CH35" s="209"/>
      <c r="CI35" s="209">
        <v>36145.425360000001</v>
      </c>
      <c r="CJ35" s="209"/>
      <c r="CK35" s="209"/>
      <c r="CL35" s="209">
        <v>2201.1</v>
      </c>
      <c r="CM35" s="209">
        <v>356</v>
      </c>
      <c r="CN35" s="209"/>
      <c r="CO35" s="209">
        <v>76.638130000000004</v>
      </c>
      <c r="CP35" s="209">
        <f t="shared" si="60"/>
        <v>960</v>
      </c>
      <c r="CQ35" s="209"/>
      <c r="CR35" s="209">
        <v>3315.424</v>
      </c>
      <c r="CS35" s="209">
        <v>856.91467999999998</v>
      </c>
      <c r="CT35" s="209"/>
      <c r="CU35" s="209">
        <f t="shared" si="60"/>
        <v>0</v>
      </c>
      <c r="CV35" s="209">
        <f>-(CV34-CV31)</f>
        <v>488.56979000000001</v>
      </c>
      <c r="CW35" s="209"/>
      <c r="CX35" s="209">
        <f t="shared" si="60"/>
        <v>0</v>
      </c>
      <c r="CY35" s="209">
        <f t="shared" si="60"/>
        <v>0</v>
      </c>
      <c r="CZ35" s="209" t="e">
        <f t="shared" si="60"/>
        <v>#DIV/0!</v>
      </c>
      <c r="DA35" s="209">
        <f t="shared" si="60"/>
        <v>0</v>
      </c>
      <c r="DB35" s="209">
        <f t="shared" si="60"/>
        <v>0</v>
      </c>
      <c r="DC35" s="209" t="e">
        <f t="shared" si="60"/>
        <v>#DIV/0!</v>
      </c>
      <c r="DD35" s="209">
        <f t="shared" si="60"/>
        <v>0</v>
      </c>
      <c r="DE35" s="209">
        <f t="shared" si="60"/>
        <v>0</v>
      </c>
      <c r="DF35" s="209"/>
      <c r="DG35" s="209">
        <v>119090.27473</v>
      </c>
      <c r="DH35" s="209">
        <v>7802.1563299999998</v>
      </c>
      <c r="DI35" s="209"/>
      <c r="DJ35" s="209">
        <v>21912.312000000002</v>
      </c>
      <c r="DK35" s="209">
        <v>2270.8410699999999</v>
      </c>
      <c r="DL35" s="209"/>
      <c r="DM35" s="209">
        <v>21499.286</v>
      </c>
      <c r="DN35" s="209">
        <v>2193.89057</v>
      </c>
      <c r="DO35" s="209"/>
      <c r="DP35" s="209">
        <v>0</v>
      </c>
      <c r="DQ35" s="209">
        <v>0</v>
      </c>
      <c r="DR35" s="209"/>
      <c r="DS35" s="209">
        <v>80</v>
      </c>
      <c r="DT35" s="209">
        <f t="shared" si="60"/>
        <v>0</v>
      </c>
      <c r="DU35" s="209"/>
      <c r="DV35" s="209">
        <v>333.02600000000001</v>
      </c>
      <c r="DW35" s="209">
        <v>76.950500000000005</v>
      </c>
      <c r="DX35" s="209"/>
      <c r="DY35" s="209">
        <v>2158.6999999999998</v>
      </c>
      <c r="DZ35" s="209">
        <v>225.51338000000001</v>
      </c>
      <c r="EA35" s="209"/>
      <c r="EB35" s="209">
        <v>161.375</v>
      </c>
      <c r="EC35" s="209">
        <v>8.1604299999999999</v>
      </c>
      <c r="ED35" s="209"/>
      <c r="EE35" s="209">
        <v>41781.398359999999</v>
      </c>
      <c r="EF35" s="209">
        <v>650.97672</v>
      </c>
      <c r="EG35" s="209"/>
      <c r="EH35" s="209">
        <v>10259.247890000001</v>
      </c>
      <c r="EI35" s="209">
        <v>705.98099999999999</v>
      </c>
      <c r="EJ35" s="209"/>
      <c r="EK35" s="209">
        <v>33874.519630000003</v>
      </c>
      <c r="EL35" s="209">
        <v>3926.1297300000001</v>
      </c>
      <c r="EM35" s="209"/>
      <c r="EN35" s="209">
        <v>0</v>
      </c>
      <c r="EO35" s="209">
        <v>0</v>
      </c>
      <c r="EP35" s="209"/>
      <c r="EQ35" s="209">
        <v>162.91200000000001</v>
      </c>
      <c r="ER35" s="209">
        <v>14.554</v>
      </c>
      <c r="ES35" s="209"/>
      <c r="ET35" s="209">
        <f t="shared" ref="ET35:EU35" si="61">ET34-ET31</f>
        <v>0</v>
      </c>
      <c r="EU35" s="209">
        <f t="shared" si="61"/>
        <v>0</v>
      </c>
      <c r="EV35" s="209"/>
      <c r="EW35" s="209">
        <v>-4759.1599699999997</v>
      </c>
      <c r="EX35" s="209">
        <v>2114.7462700000001</v>
      </c>
    </row>
    <row r="36" spans="3:155">
      <c r="C36" s="209">
        <f>C35-C31</f>
        <v>0</v>
      </c>
      <c r="D36" s="209">
        <f>D35-D31</f>
        <v>0</v>
      </c>
      <c r="E36" s="209"/>
      <c r="F36" s="209">
        <f>F35-F31</f>
        <v>0</v>
      </c>
      <c r="G36" s="209">
        <f>G35-G31</f>
        <v>0</v>
      </c>
      <c r="H36" s="209"/>
      <c r="I36" s="209">
        <f>I35-I31</f>
        <v>0</v>
      </c>
      <c r="J36" s="209">
        <f>J35-J31</f>
        <v>0</v>
      </c>
      <c r="K36" s="209"/>
      <c r="L36" s="209">
        <f>L35-L31</f>
        <v>0</v>
      </c>
      <c r="M36" s="209">
        <f>M35-M31</f>
        <v>0</v>
      </c>
      <c r="N36" s="209"/>
      <c r="O36" s="209">
        <f>O35-O31</f>
        <v>0</v>
      </c>
      <c r="P36" s="209">
        <f>P35-P31</f>
        <v>0</v>
      </c>
      <c r="Q36" s="209"/>
      <c r="R36" s="209">
        <f>R35-R31</f>
        <v>0</v>
      </c>
      <c r="S36" s="209">
        <f>S35-S31</f>
        <v>0</v>
      </c>
      <c r="T36" s="209"/>
      <c r="U36" s="209">
        <f>U35-U31</f>
        <v>0</v>
      </c>
      <c r="V36" s="209">
        <f>V35-V31</f>
        <v>0</v>
      </c>
      <c r="W36" s="209"/>
      <c r="X36" s="209">
        <f>X35-X31</f>
        <v>0</v>
      </c>
      <c r="Y36" s="209">
        <f>Y35-Y31</f>
        <v>0</v>
      </c>
      <c r="Z36" s="209"/>
      <c r="AA36" s="209">
        <f>AA35-AA31</f>
        <v>0</v>
      </c>
      <c r="AB36" s="209">
        <f>AB35-AB31</f>
        <v>0</v>
      </c>
      <c r="AC36" s="209"/>
      <c r="AD36" s="209">
        <f>AD35-AD31</f>
        <v>0</v>
      </c>
      <c r="AE36" s="209">
        <f>AE35-AE31</f>
        <v>0</v>
      </c>
      <c r="AF36" s="209"/>
      <c r="AG36" s="209">
        <f>AG35-AG31</f>
        <v>0</v>
      </c>
      <c r="AH36" s="209">
        <f>AH35-AH31</f>
        <v>0</v>
      </c>
      <c r="AI36" s="209"/>
      <c r="AJ36" s="209">
        <f t="shared" ref="AJ36:AQ36" si="62">AJ35-AJ31</f>
        <v>0</v>
      </c>
      <c r="AK36" s="209">
        <f t="shared" si="62"/>
        <v>0</v>
      </c>
      <c r="AL36" s="209" t="e">
        <f t="shared" si="62"/>
        <v>#DIV/0!</v>
      </c>
      <c r="AM36" s="209">
        <f t="shared" si="62"/>
        <v>0</v>
      </c>
      <c r="AN36" s="209">
        <f t="shared" si="62"/>
        <v>0</v>
      </c>
      <c r="AO36" s="209" t="e">
        <f t="shared" si="62"/>
        <v>#DIV/0!</v>
      </c>
      <c r="AP36" s="209">
        <f t="shared" si="62"/>
        <v>0</v>
      </c>
      <c r="AQ36" s="209">
        <f t="shared" si="62"/>
        <v>0</v>
      </c>
      <c r="AR36" s="209"/>
      <c r="AS36" s="209">
        <f>AS35-AS31</f>
        <v>0</v>
      </c>
      <c r="AT36" s="209">
        <f>AT35-AT31</f>
        <v>0</v>
      </c>
      <c r="AU36" s="209"/>
      <c r="AV36" s="209">
        <f>AV35-AV31</f>
        <v>0</v>
      </c>
      <c r="AW36" s="209">
        <f>AW35-AW31</f>
        <v>0</v>
      </c>
      <c r="AX36" s="209" t="e">
        <f>AX35-AX31</f>
        <v>#DIV/0!</v>
      </c>
      <c r="AY36" s="209">
        <f>AY35-AY31</f>
        <v>0</v>
      </c>
      <c r="AZ36" s="209">
        <f>AZ35-AZ31</f>
        <v>0</v>
      </c>
      <c r="BA36" s="209"/>
      <c r="BB36" s="209">
        <f>BB35-BB31</f>
        <v>0</v>
      </c>
      <c r="BC36" s="209">
        <f>BC35-BC31</f>
        <v>-12.76906</v>
      </c>
      <c r="BD36" s="209" t="e">
        <f>BD35-BD31</f>
        <v>#DIV/0!</v>
      </c>
      <c r="BE36" s="209">
        <f>BE35-BE31</f>
        <v>0</v>
      </c>
      <c r="BF36" s="209">
        <f>BF35-BF31</f>
        <v>0</v>
      </c>
      <c r="BG36" s="209"/>
      <c r="BH36" s="209">
        <f t="shared" ref="BH36:BO36" si="63">BH35-BH31</f>
        <v>0</v>
      </c>
      <c r="BI36" s="209">
        <f t="shared" si="63"/>
        <v>0</v>
      </c>
      <c r="BJ36" s="209" t="e">
        <f t="shared" si="63"/>
        <v>#DIV/0!</v>
      </c>
      <c r="BK36" s="209">
        <f t="shared" si="63"/>
        <v>0</v>
      </c>
      <c r="BL36" s="209">
        <f t="shared" si="63"/>
        <v>0</v>
      </c>
      <c r="BM36" s="209" t="e">
        <f t="shared" si="63"/>
        <v>#DIV/0!</v>
      </c>
      <c r="BN36" s="209">
        <f t="shared" si="63"/>
        <v>0</v>
      </c>
      <c r="BO36" s="209">
        <f t="shared" si="63"/>
        <v>0</v>
      </c>
      <c r="BP36" s="209"/>
      <c r="BQ36" s="209">
        <f>BQ35-BQ31</f>
        <v>0</v>
      </c>
      <c r="BR36" s="209">
        <f>BR35-BR31</f>
        <v>0</v>
      </c>
      <c r="BS36" s="209"/>
      <c r="BT36" s="209">
        <f t="shared" ref="BT36:CA36" si="64">BT35-BT31</f>
        <v>0</v>
      </c>
      <c r="BU36" s="209">
        <f t="shared" si="64"/>
        <v>0</v>
      </c>
      <c r="BV36" s="209" t="e">
        <f t="shared" si="64"/>
        <v>#DIV/0!</v>
      </c>
      <c r="BW36" s="209">
        <f t="shared" si="64"/>
        <v>0</v>
      </c>
      <c r="BX36" s="209">
        <f t="shared" si="64"/>
        <v>0</v>
      </c>
      <c r="BY36" s="209" t="e">
        <f t="shared" si="64"/>
        <v>#DIV/0!</v>
      </c>
      <c r="BZ36" s="209">
        <f t="shared" si="64"/>
        <v>0</v>
      </c>
      <c r="CA36" s="209">
        <f t="shared" si="64"/>
        <v>0</v>
      </c>
      <c r="CB36" s="209"/>
      <c r="CC36" s="209">
        <f>CC35-CC31</f>
        <v>0</v>
      </c>
      <c r="CD36" s="209">
        <f>CD35-CD31</f>
        <v>0</v>
      </c>
      <c r="CE36" s="209"/>
      <c r="CF36" s="209">
        <f>CF35-CF31</f>
        <v>0</v>
      </c>
      <c r="CG36" s="209">
        <f>CG35-CG31</f>
        <v>0</v>
      </c>
      <c r="CH36" s="209"/>
      <c r="CI36" s="209">
        <f>CI35-CI31</f>
        <v>0</v>
      </c>
      <c r="CJ36" s="209">
        <f>CJ35-CJ31</f>
        <v>0</v>
      </c>
      <c r="CK36" s="209"/>
      <c r="CL36" s="209">
        <f>CL35-CL31</f>
        <v>0</v>
      </c>
      <c r="CM36" s="209">
        <f>CM35-CM31</f>
        <v>0</v>
      </c>
      <c r="CN36" s="209"/>
      <c r="CO36" s="209">
        <f>CO35-CO31</f>
        <v>0</v>
      </c>
      <c r="CP36" s="209">
        <f>CP35-CP31</f>
        <v>960</v>
      </c>
      <c r="CQ36" s="209"/>
      <c r="CR36" s="209">
        <f>CR35-CR31</f>
        <v>0</v>
      </c>
      <c r="CS36" s="209">
        <f>CS35-CS31</f>
        <v>0</v>
      </c>
      <c r="CT36" s="209"/>
      <c r="CU36" s="209">
        <f>CU35-CU31</f>
        <v>0</v>
      </c>
      <c r="CV36" s="209">
        <f>CV35-CV31</f>
        <v>488.56979000000001</v>
      </c>
      <c r="CW36" s="209"/>
      <c r="CX36" s="209">
        <f t="shared" ref="CX36:DH36" si="65">CX35-CX31</f>
        <v>0</v>
      </c>
      <c r="CY36" s="209">
        <f t="shared" si="65"/>
        <v>0</v>
      </c>
      <c r="CZ36" s="209" t="e">
        <f t="shared" si="65"/>
        <v>#DIV/0!</v>
      </c>
      <c r="DA36" s="209">
        <f t="shared" si="65"/>
        <v>0</v>
      </c>
      <c r="DB36" s="209">
        <f t="shared" si="65"/>
        <v>0</v>
      </c>
      <c r="DC36" s="209" t="e">
        <f t="shared" si="65"/>
        <v>#DIV/0!</v>
      </c>
      <c r="DD36" s="209">
        <f t="shared" si="65"/>
        <v>0</v>
      </c>
      <c r="DE36" s="209">
        <f t="shared" si="65"/>
        <v>0</v>
      </c>
      <c r="DF36" s="209">
        <f t="shared" si="65"/>
        <v>0</v>
      </c>
      <c r="DG36" s="209">
        <f t="shared" si="65"/>
        <v>0</v>
      </c>
      <c r="DH36" s="209">
        <f t="shared" si="65"/>
        <v>0</v>
      </c>
      <c r="DI36" s="209"/>
      <c r="DJ36" s="209">
        <f>DJ35-DJ31</f>
        <v>0</v>
      </c>
      <c r="DK36" s="209">
        <f>DK35-DK31</f>
        <v>0</v>
      </c>
      <c r="DL36" s="209"/>
      <c r="DM36" s="209">
        <f>DM35-DM31</f>
        <v>0</v>
      </c>
      <c r="DN36" s="209">
        <f>DN35-DN31</f>
        <v>0</v>
      </c>
      <c r="DO36" s="209"/>
      <c r="DP36" s="209">
        <f>DP35-DP31</f>
        <v>0</v>
      </c>
      <c r="DQ36" s="209">
        <f>DQ35-DQ31</f>
        <v>0</v>
      </c>
      <c r="DR36" s="209"/>
      <c r="DS36" s="209">
        <f>DS35-DS31</f>
        <v>0</v>
      </c>
      <c r="DT36" s="209">
        <f>DT35-DT31</f>
        <v>0</v>
      </c>
      <c r="DU36" s="209"/>
      <c r="DV36" s="209">
        <f>DV35-DV31</f>
        <v>0</v>
      </c>
      <c r="DW36" s="209">
        <f>DW35-DW31</f>
        <v>0</v>
      </c>
      <c r="DX36" s="209"/>
      <c r="DY36" s="209">
        <f>DY35-DY31</f>
        <v>0</v>
      </c>
      <c r="DZ36" s="209">
        <f>DZ35-DZ31</f>
        <v>0</v>
      </c>
      <c r="EA36" s="209"/>
      <c r="EB36" s="209">
        <f>EB35-EB31</f>
        <v>0</v>
      </c>
      <c r="EC36" s="209">
        <f>EC35-EC31</f>
        <v>0</v>
      </c>
      <c r="ED36" s="209"/>
      <c r="EE36" s="209">
        <f>EE35-EE31</f>
        <v>0</v>
      </c>
      <c r="EF36" s="209">
        <f>EF35-EF31</f>
        <v>0</v>
      </c>
      <c r="EG36" s="209"/>
      <c r="EH36" s="209">
        <f>EH35-EH31</f>
        <v>-8779.8098499999996</v>
      </c>
      <c r="EI36" s="209">
        <f>EI35-EI31</f>
        <v>0</v>
      </c>
      <c r="EJ36" s="209"/>
      <c r="EK36" s="209">
        <f>EK35-EK31</f>
        <v>0</v>
      </c>
      <c r="EL36" s="209">
        <f>EL35-EL31</f>
        <v>0</v>
      </c>
      <c r="EM36" s="209"/>
      <c r="EN36" s="209">
        <f>EN35-EN31</f>
        <v>0</v>
      </c>
      <c r="EO36" s="209">
        <f>EO35-EO31</f>
        <v>0</v>
      </c>
      <c r="EP36" s="209"/>
      <c r="EQ36" s="209">
        <f>EQ35-EQ31</f>
        <v>0</v>
      </c>
      <c r="ER36" s="209">
        <f>ER35-ER31</f>
        <v>0</v>
      </c>
      <c r="ES36" s="209"/>
      <c r="ET36" s="209">
        <f>ET35-ET31</f>
        <v>0</v>
      </c>
      <c r="EU36" s="209">
        <f>EU35-EU31</f>
        <v>0</v>
      </c>
      <c r="EV36" s="209"/>
      <c r="EW36" s="209">
        <f>EW35-EW31</f>
        <v>0</v>
      </c>
      <c r="EX36" s="209">
        <f>EX35-EX31</f>
        <v>0</v>
      </c>
      <c r="EY36" s="221"/>
    </row>
  </sheetData>
  <customSheetViews>
    <customSheetView guid="{37D0E254-14A1-48DF-98B1-097427A51078}" scale="75" showPageBreaks="1" printArea="1" hiddenRows="1" hiddenColumns="1" view="pageBreakPreview" topLeftCell="A10">
      <pane xSplit="2" ySplit="4" topLeftCell="C14" activePane="bottomRight" state="frozen"/>
      <selection pane="bottomRight" activeCell="DM10" sqref="A10:XFD1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Rows="1" hiddenColumns="1" view="pageBreakPreview" topLeftCell="A10">
      <pane xSplit="2" ySplit="4" topLeftCell="AZ14" activePane="bottomRight" state="frozen"/>
      <selection pane="bottomRight" activeCell="DP20" sqref="DP20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61528DAC-5C4C-48F4-ADE2-8A724B05A086}" scale="75" showPageBreaks="1" printArea="1" hiddenRows="1" hiddenColumns="1" view="pageBreakPreview" topLeftCell="A10">
      <pane xSplit="2" ySplit="4" topLeftCell="C14" activePane="bottomRight" state="frozen"/>
      <selection pane="bottomRight" activeCell="D14" sqref="D14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DM10" sqref="A10:XFD1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10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362</v>
      </c>
      <c r="AO1" t="s">
        <v>363</v>
      </c>
      <c r="AP1" t="s">
        <v>364</v>
      </c>
      <c r="AS1" t="s">
        <v>365</v>
      </c>
      <c r="AW1">
        <v>187.4</v>
      </c>
      <c r="AX1" t="s">
        <v>366</v>
      </c>
      <c r="AY1" t="s">
        <v>367</v>
      </c>
    </row>
    <row r="2" spans="32:51">
      <c r="AF2" t="s">
        <v>368</v>
      </c>
      <c r="AJ2" t="s">
        <v>369</v>
      </c>
    </row>
    <row r="3" spans="32:51">
      <c r="AF3" t="s">
        <v>371</v>
      </c>
      <c r="AH3" t="s">
        <v>370</v>
      </c>
      <c r="AJ3" t="s">
        <v>371</v>
      </c>
      <c r="AN3" t="s">
        <v>370</v>
      </c>
      <c r="AO3" t="s">
        <v>370</v>
      </c>
      <c r="AP3" t="s">
        <v>370</v>
      </c>
      <c r="AS3" t="s">
        <v>372</v>
      </c>
      <c r="AT3" t="s">
        <v>373</v>
      </c>
      <c r="AU3" t="s">
        <v>374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375</v>
      </c>
      <c r="AU4" t="s">
        <v>376</v>
      </c>
      <c r="AV4" t="s">
        <v>377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378</v>
      </c>
      <c r="AU5" t="s">
        <v>376</v>
      </c>
      <c r="AV5" t="s">
        <v>379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380</v>
      </c>
      <c r="AU6" t="s">
        <v>376</v>
      </c>
      <c r="AV6" t="s">
        <v>379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381</v>
      </c>
      <c r="AU7" t="s">
        <v>376</v>
      </c>
      <c r="AV7" t="s">
        <v>382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383</v>
      </c>
      <c r="AU8" t="s">
        <v>376</v>
      </c>
      <c r="AV8" t="s">
        <v>384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385</v>
      </c>
      <c r="AU9" t="s">
        <v>376</v>
      </c>
      <c r="AV9" t="s">
        <v>386</v>
      </c>
      <c r="AW9" t="s">
        <v>387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388</v>
      </c>
      <c r="AU10" t="s">
        <v>376</v>
      </c>
      <c r="AV10" t="s">
        <v>389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390</v>
      </c>
      <c r="AU11" t="s">
        <v>376</v>
      </c>
      <c r="AV11" t="s">
        <v>391</v>
      </c>
      <c r="AW11" t="s">
        <v>387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392</v>
      </c>
      <c r="AU12" t="s">
        <v>376</v>
      </c>
      <c r="AV12" t="s">
        <v>393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394</v>
      </c>
      <c r="AU13" t="s">
        <v>376</v>
      </c>
      <c r="AV13" t="s">
        <v>395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396</v>
      </c>
      <c r="AU14" t="s">
        <v>376</v>
      </c>
      <c r="AV14" t="s">
        <v>382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397</v>
      </c>
      <c r="AU15" t="s">
        <v>376</v>
      </c>
      <c r="AV15" t="s">
        <v>398</v>
      </c>
      <c r="AW15" t="s">
        <v>399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400</v>
      </c>
      <c r="AU16" t="s">
        <v>376</v>
      </c>
      <c r="AV16" t="s">
        <v>379</v>
      </c>
      <c r="AW16" t="s">
        <v>401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402</v>
      </c>
      <c r="AU17" t="s">
        <v>376</v>
      </c>
      <c r="AV17" t="s">
        <v>403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404</v>
      </c>
      <c r="AU18" t="s">
        <v>376</v>
      </c>
      <c r="AV18" t="s">
        <v>379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405</v>
      </c>
      <c r="AU19" t="s">
        <v>406</v>
      </c>
      <c r="AV19" t="s">
        <v>389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407</v>
      </c>
      <c r="AY20" t="s">
        <v>408</v>
      </c>
    </row>
    <row r="82" hidden="1"/>
    <row r="83" hidden="1"/>
    <row r="84" hidden="1"/>
  </sheetData>
  <customSheetViews>
    <customSheetView guid="{37D0E254-14A1-48DF-98B1-097427A51078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</customSheetViews>
  <pageMargins left="0.7" right="0.7" top="0.75" bottom="0.75" header="0.3" footer="0.3"/>
  <pageSetup paperSize="9" orientation="portrait" verticalDpi="0" r:id="rId8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37D0E254-14A1-48DF-98B1-097427A51078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61528DAC-5C4C-48F4-ADE2-8A724B05A086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7"/>
  <sheetViews>
    <sheetView view="pageBreakPreview" topLeftCell="A95" zoomScale="60" workbookViewId="0">
      <selection activeCell="C144" sqref="C144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40" t="s">
        <v>0</v>
      </c>
      <c r="B1" s="540"/>
      <c r="C1" s="540"/>
      <c r="D1" s="540"/>
      <c r="E1" s="540"/>
      <c r="F1" s="540"/>
    </row>
    <row r="2" spans="1:6">
      <c r="A2" s="540" t="s">
        <v>420</v>
      </c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103" t="s">
        <v>418</v>
      </c>
      <c r="E3" s="72" t="s">
        <v>3</v>
      </c>
      <c r="F3" s="74" t="s">
        <v>4</v>
      </c>
    </row>
    <row r="4" spans="1:6" s="6" customFormat="1" ht="22.5">
      <c r="A4" s="3"/>
      <c r="B4" s="255" t="s">
        <v>5</v>
      </c>
      <c r="C4" s="294">
        <f>C5+C12+C16+C21+C23+C27+C7</f>
        <v>133077.39000000001</v>
      </c>
      <c r="D4" s="463">
        <f>D5+D12+D16+D21+D23+D27+D7</f>
        <v>19001.930910000003</v>
      </c>
      <c r="E4" s="294">
        <f>SUM(D4/C4*100)</f>
        <v>14.27885752042477</v>
      </c>
      <c r="F4" s="294">
        <f>SUM(D4-C4)</f>
        <v>-114075.45909000002</v>
      </c>
    </row>
    <row r="5" spans="1:6" s="6" customFormat="1" ht="22.5">
      <c r="A5" s="68">
        <v>1010000000</v>
      </c>
      <c r="B5" s="255" t="s">
        <v>6</v>
      </c>
      <c r="C5" s="294">
        <f>C6</f>
        <v>110707.3</v>
      </c>
      <c r="D5" s="463">
        <f>D6</f>
        <v>15114.433499999999</v>
      </c>
      <c r="E5" s="294">
        <f t="shared" ref="E5:E82" si="0">SUM(D5/C5*100)</f>
        <v>13.652607822609708</v>
      </c>
      <c r="F5" s="294">
        <f t="shared" ref="F5:F82" si="1">SUM(D5-C5)</f>
        <v>-95592.866500000004</v>
      </c>
    </row>
    <row r="6" spans="1:6" ht="23.25">
      <c r="A6" s="7">
        <v>1010200001</v>
      </c>
      <c r="B6" s="256" t="s">
        <v>229</v>
      </c>
      <c r="C6" s="295">
        <v>110707.3</v>
      </c>
      <c r="D6" s="464">
        <v>15114.433499999999</v>
      </c>
      <c r="E6" s="295">
        <f t="shared" ref="E6:E11" si="2">SUM(D6/C6*100)</f>
        <v>13.652607822609708</v>
      </c>
      <c r="F6" s="295">
        <f t="shared" si="1"/>
        <v>-95592.866500000004</v>
      </c>
    </row>
    <row r="7" spans="1:6" ht="37.5">
      <c r="A7" s="68">
        <v>1030000000</v>
      </c>
      <c r="B7" s="257" t="s">
        <v>281</v>
      </c>
      <c r="C7" s="294">
        <f>C8+C10+C9</f>
        <v>4391.8900000000003</v>
      </c>
      <c r="D7" s="463">
        <f>D8+D10+D9+D11</f>
        <v>894.68868999999995</v>
      </c>
      <c r="E7" s="295">
        <f t="shared" si="2"/>
        <v>20.371382024595331</v>
      </c>
      <c r="F7" s="295">
        <f t="shared" si="1"/>
        <v>-3497.2013100000004</v>
      </c>
    </row>
    <row r="8" spans="1:6" ht="23.25">
      <c r="A8" s="7">
        <v>1030223001</v>
      </c>
      <c r="B8" s="256" t="s">
        <v>283</v>
      </c>
      <c r="C8" s="295">
        <v>1409.797</v>
      </c>
      <c r="D8" s="464">
        <v>396.27823000000001</v>
      </c>
      <c r="E8" s="295">
        <f t="shared" si="2"/>
        <v>28.108885889245052</v>
      </c>
      <c r="F8" s="295">
        <f>SUM(D8-C8)</f>
        <v>-1013.51877</v>
      </c>
    </row>
    <row r="9" spans="1:6" ht="23.25">
      <c r="A9" s="7">
        <v>1030224001</v>
      </c>
      <c r="B9" s="256" t="s">
        <v>289</v>
      </c>
      <c r="C9" s="295">
        <v>21.959</v>
      </c>
      <c r="D9" s="464">
        <v>2.6888700000000001</v>
      </c>
      <c r="E9" s="295">
        <f t="shared" si="2"/>
        <v>12.244956509859284</v>
      </c>
      <c r="F9" s="295">
        <f>SUM(D9-C9)</f>
        <v>-19.270129999999998</v>
      </c>
    </row>
    <row r="10" spans="1:6" ht="23.25">
      <c r="A10" s="7">
        <v>1030225001</v>
      </c>
      <c r="B10" s="256" t="s">
        <v>282</v>
      </c>
      <c r="C10" s="295">
        <v>2960.134</v>
      </c>
      <c r="D10" s="464">
        <v>582.05391999999995</v>
      </c>
      <c r="E10" s="295">
        <f t="shared" si="2"/>
        <v>19.663093630220793</v>
      </c>
      <c r="F10" s="295">
        <f t="shared" si="1"/>
        <v>-2378.0800800000002</v>
      </c>
    </row>
    <row r="11" spans="1:6" ht="23.25">
      <c r="A11" s="7">
        <v>1030226001</v>
      </c>
      <c r="B11" s="256" t="s">
        <v>291</v>
      </c>
      <c r="C11" s="295">
        <v>0</v>
      </c>
      <c r="D11" s="464">
        <v>-86.332329999999999</v>
      </c>
      <c r="E11" s="295" t="e">
        <f t="shared" si="2"/>
        <v>#DIV/0!</v>
      </c>
      <c r="F11" s="295">
        <f t="shared" si="1"/>
        <v>-86.332329999999999</v>
      </c>
    </row>
    <row r="12" spans="1:6" s="6" customFormat="1" ht="22.5">
      <c r="A12" s="68">
        <v>1050000000</v>
      </c>
      <c r="B12" s="255" t="s">
        <v>7</v>
      </c>
      <c r="C12" s="294">
        <f>SUM(C13:C15)</f>
        <v>12228.2</v>
      </c>
      <c r="D12" s="463">
        <f>SUM(D13:D15)</f>
        <v>2464.4956299999999</v>
      </c>
      <c r="E12" s="294">
        <f t="shared" si="0"/>
        <v>20.154197919562975</v>
      </c>
      <c r="F12" s="294">
        <f t="shared" si="1"/>
        <v>-9763.7043700000013</v>
      </c>
    </row>
    <row r="13" spans="1:6" ht="23.25">
      <c r="A13" s="7">
        <v>1050200000</v>
      </c>
      <c r="B13" s="258" t="s">
        <v>239</v>
      </c>
      <c r="C13" s="362">
        <v>10831.5</v>
      </c>
      <c r="D13" s="464">
        <v>2371.3861299999999</v>
      </c>
      <c r="E13" s="295">
        <f t="shared" si="0"/>
        <v>21.893423163920048</v>
      </c>
      <c r="F13" s="295">
        <f t="shared" si="1"/>
        <v>-8460.113870000001</v>
      </c>
    </row>
    <row r="14" spans="1:6" ht="23.25" customHeight="1">
      <c r="A14" s="7">
        <v>1050300000</v>
      </c>
      <c r="B14" s="258" t="s">
        <v>230</v>
      </c>
      <c r="C14" s="362">
        <v>1096.7</v>
      </c>
      <c r="D14" s="464">
        <v>53.40316</v>
      </c>
      <c r="E14" s="295">
        <f t="shared" si="0"/>
        <v>4.8694410504239993</v>
      </c>
      <c r="F14" s="295">
        <f t="shared" si="1"/>
        <v>-1043.29684</v>
      </c>
    </row>
    <row r="15" spans="1:6" ht="37.5">
      <c r="A15" s="7">
        <v>1050400002</v>
      </c>
      <c r="B15" s="256" t="s">
        <v>266</v>
      </c>
      <c r="C15" s="362">
        <v>300</v>
      </c>
      <c r="D15" s="464">
        <v>39.706339999999997</v>
      </c>
      <c r="E15" s="295">
        <f t="shared" si="0"/>
        <v>13.235446666666666</v>
      </c>
      <c r="F15" s="295">
        <f t="shared" si="1"/>
        <v>-260.29365999999999</v>
      </c>
    </row>
    <row r="16" spans="1:6" s="6" customFormat="1" ht="24" customHeight="1">
      <c r="A16" s="68">
        <v>1060000000</v>
      </c>
      <c r="B16" s="255" t="s">
        <v>136</v>
      </c>
      <c r="C16" s="294">
        <f>SUM(C17:C20)</f>
        <v>2050</v>
      </c>
      <c r="D16" s="463">
        <f>SUM(D17:D20)</f>
        <v>147.60910999999999</v>
      </c>
      <c r="E16" s="294">
        <f t="shared" si="0"/>
        <v>7.2004443902439013</v>
      </c>
      <c r="F16" s="294">
        <f t="shared" si="1"/>
        <v>-1902.3908900000001</v>
      </c>
    </row>
    <row r="17" spans="1:6" s="6" customFormat="1" ht="18" hidden="1" customHeight="1">
      <c r="A17" s="7">
        <v>1060100000</v>
      </c>
      <c r="B17" s="258" t="s">
        <v>9</v>
      </c>
      <c r="C17" s="295"/>
      <c r="D17" s="464"/>
      <c r="E17" s="294" t="e">
        <f t="shared" si="0"/>
        <v>#DIV/0!</v>
      </c>
      <c r="F17" s="294">
        <f t="shared" si="1"/>
        <v>0</v>
      </c>
    </row>
    <row r="18" spans="1:6" s="6" customFormat="1" ht="17.25" hidden="1" customHeight="1">
      <c r="A18" s="7">
        <v>1060200000</v>
      </c>
      <c r="B18" s="258" t="s">
        <v>123</v>
      </c>
      <c r="C18" s="295"/>
      <c r="D18" s="464"/>
      <c r="E18" s="294" t="e">
        <f t="shared" si="0"/>
        <v>#DIV/0!</v>
      </c>
      <c r="F18" s="294">
        <f t="shared" si="1"/>
        <v>0</v>
      </c>
    </row>
    <row r="19" spans="1:6" s="6" customFormat="1" ht="21.75" customHeight="1">
      <c r="A19" s="7">
        <v>1060400000</v>
      </c>
      <c r="B19" s="258" t="s">
        <v>280</v>
      </c>
      <c r="C19" s="295">
        <v>2050</v>
      </c>
      <c r="D19" s="464">
        <v>147.60910999999999</v>
      </c>
      <c r="E19" s="295">
        <f t="shared" si="0"/>
        <v>7.2004443902439013</v>
      </c>
      <c r="F19" s="295">
        <f t="shared" si="1"/>
        <v>-1902.3908900000001</v>
      </c>
    </row>
    <row r="20" spans="1:6" ht="15.75" hidden="1" customHeight="1">
      <c r="A20" s="7">
        <v>1060600000</v>
      </c>
      <c r="B20" s="258" t="s">
        <v>8</v>
      </c>
      <c r="C20" s="295"/>
      <c r="D20" s="464"/>
      <c r="E20" s="295" t="e">
        <f t="shared" si="0"/>
        <v>#DIV/0!</v>
      </c>
      <c r="F20" s="295">
        <f t="shared" si="1"/>
        <v>0</v>
      </c>
    </row>
    <row r="21" spans="1:6" s="6" customFormat="1" ht="42" customHeight="1">
      <c r="A21" s="68">
        <v>1070000000</v>
      </c>
      <c r="B21" s="257" t="s">
        <v>10</v>
      </c>
      <c r="C21" s="294">
        <f>SUM(C22)</f>
        <v>1000</v>
      </c>
      <c r="D21" s="463">
        <f>SUM(D22)</f>
        <v>12.452159999999999</v>
      </c>
      <c r="E21" s="294">
        <f t="shared" si="0"/>
        <v>1.2452159999999999</v>
      </c>
      <c r="F21" s="294">
        <f t="shared" si="1"/>
        <v>-987.54783999999995</v>
      </c>
    </row>
    <row r="22" spans="1:6" ht="41.25" customHeight="1">
      <c r="A22" s="7">
        <v>1070102001</v>
      </c>
      <c r="B22" s="256" t="s">
        <v>240</v>
      </c>
      <c r="C22" s="295">
        <v>1000</v>
      </c>
      <c r="D22" s="464">
        <v>12.452159999999999</v>
      </c>
      <c r="E22" s="295">
        <f t="shared" si="0"/>
        <v>1.2452159999999999</v>
      </c>
      <c r="F22" s="295">
        <f t="shared" si="1"/>
        <v>-987.54783999999995</v>
      </c>
    </row>
    <row r="23" spans="1:6" s="6" customFormat="1" ht="22.5">
      <c r="A23" s="3">
        <v>1080000000</v>
      </c>
      <c r="B23" s="255" t="s">
        <v>11</v>
      </c>
      <c r="C23" s="294">
        <f>C24+C25+C26</f>
        <v>2700</v>
      </c>
      <c r="D23" s="463">
        <f>D24+D25+D26</f>
        <v>368.25182000000001</v>
      </c>
      <c r="E23" s="294">
        <f t="shared" si="0"/>
        <v>13.638956296296298</v>
      </c>
      <c r="F23" s="294">
        <f t="shared" si="1"/>
        <v>-2331.74818</v>
      </c>
    </row>
    <row r="24" spans="1:6" ht="36.75" customHeight="1">
      <c r="A24" s="7">
        <v>1080300001</v>
      </c>
      <c r="B24" s="256" t="s">
        <v>241</v>
      </c>
      <c r="C24" s="295">
        <v>1900</v>
      </c>
      <c r="D24" s="464">
        <v>260.50499000000002</v>
      </c>
      <c r="E24" s="295">
        <f t="shared" si="0"/>
        <v>13.710788947368421</v>
      </c>
      <c r="F24" s="295">
        <f t="shared" si="1"/>
        <v>-1639.4950100000001</v>
      </c>
    </row>
    <row r="25" spans="1:6" ht="33.75" customHeight="1">
      <c r="A25" s="7">
        <v>1080600001</v>
      </c>
      <c r="B25" s="256" t="s">
        <v>228</v>
      </c>
      <c r="C25" s="295">
        <v>0</v>
      </c>
      <c r="D25" s="464">
        <v>2.25</v>
      </c>
      <c r="E25" s="295" t="e">
        <f>SUM(D25/C25*100)</f>
        <v>#DIV/0!</v>
      </c>
      <c r="F25" s="295">
        <f t="shared" si="1"/>
        <v>2.25</v>
      </c>
    </row>
    <row r="26" spans="1:6" ht="69.75" customHeight="1">
      <c r="A26" s="7">
        <v>1080714001</v>
      </c>
      <c r="B26" s="256" t="s">
        <v>227</v>
      </c>
      <c r="C26" s="295">
        <v>800</v>
      </c>
      <c r="D26" s="464">
        <v>105.49683</v>
      </c>
      <c r="E26" s="295">
        <f t="shared" si="0"/>
        <v>13.18710375</v>
      </c>
      <c r="F26" s="295">
        <f t="shared" si="1"/>
        <v>-694.50316999999995</v>
      </c>
    </row>
    <row r="27" spans="1:6" s="15" customFormat="1" ht="0.75" hidden="1" customHeight="1">
      <c r="A27" s="68">
        <v>1090000000</v>
      </c>
      <c r="B27" s="257" t="s">
        <v>231</v>
      </c>
      <c r="C27" s="294">
        <f>C28+C29+C30+C31</f>
        <v>0</v>
      </c>
      <c r="D27" s="463">
        <f>D28+D29+D30+D31</f>
        <v>0</v>
      </c>
      <c r="E27" s="295" t="e">
        <f t="shared" si="0"/>
        <v>#DIV/0!</v>
      </c>
      <c r="F27" s="294">
        <f t="shared" si="1"/>
        <v>0</v>
      </c>
    </row>
    <row r="28" spans="1:6" s="15" customFormat="1" ht="17.25" hidden="1" customHeight="1">
      <c r="A28" s="7">
        <v>1090100000</v>
      </c>
      <c r="B28" s="256" t="s">
        <v>125</v>
      </c>
      <c r="C28" s="295">
        <v>0</v>
      </c>
      <c r="D28" s="464">
        <v>0</v>
      </c>
      <c r="E28" s="295" t="e">
        <f t="shared" si="0"/>
        <v>#DIV/0!</v>
      </c>
      <c r="F28" s="295">
        <f t="shared" si="1"/>
        <v>0</v>
      </c>
    </row>
    <row r="29" spans="1:6" s="15" customFormat="1" ht="17.25" hidden="1" customHeight="1">
      <c r="A29" s="7">
        <v>1090400000</v>
      </c>
      <c r="B29" s="256" t="s">
        <v>126</v>
      </c>
      <c r="C29" s="295">
        <v>0</v>
      </c>
      <c r="D29" s="464">
        <v>0</v>
      </c>
      <c r="E29" s="295" t="e">
        <f t="shared" si="0"/>
        <v>#DIV/0!</v>
      </c>
      <c r="F29" s="295">
        <f t="shared" si="1"/>
        <v>0</v>
      </c>
    </row>
    <row r="30" spans="1:6" s="15" customFormat="1" ht="15.75" hidden="1" customHeight="1">
      <c r="A30" s="7">
        <v>1090600000</v>
      </c>
      <c r="B30" s="256" t="s">
        <v>127</v>
      </c>
      <c r="C30" s="295">
        <v>0</v>
      </c>
      <c r="D30" s="464">
        <v>0</v>
      </c>
      <c r="E30" s="295" t="e">
        <f t="shared" si="0"/>
        <v>#DIV/0!</v>
      </c>
      <c r="F30" s="295">
        <f t="shared" si="1"/>
        <v>0</v>
      </c>
    </row>
    <row r="31" spans="1:6" s="15" customFormat="1" ht="42" hidden="1" customHeight="1">
      <c r="A31" s="7">
        <v>1090700000</v>
      </c>
      <c r="B31" s="256" t="s">
        <v>128</v>
      </c>
      <c r="C31" s="295">
        <v>0</v>
      </c>
      <c r="D31" s="464">
        <v>0</v>
      </c>
      <c r="E31" s="295" t="e">
        <f t="shared" si="0"/>
        <v>#DIV/0!</v>
      </c>
      <c r="F31" s="295">
        <f t="shared" si="1"/>
        <v>0</v>
      </c>
    </row>
    <row r="32" spans="1:6" s="6" customFormat="1" ht="33.75" customHeight="1">
      <c r="A32" s="3"/>
      <c r="B32" s="255" t="s">
        <v>13</v>
      </c>
      <c r="C32" s="294">
        <f>C33+C42+C44+C47+C50+C52+C69</f>
        <v>28011.599999999999</v>
      </c>
      <c r="D32" s="463">
        <f>D33+D42+D44+D47+D50+D52+D69</f>
        <v>3364.31041</v>
      </c>
      <c r="E32" s="294">
        <f t="shared" si="0"/>
        <v>12.010418576589698</v>
      </c>
      <c r="F32" s="294">
        <f t="shared" si="1"/>
        <v>-24647.28959</v>
      </c>
    </row>
    <row r="33" spans="1:6" s="6" customFormat="1" ht="60.75" customHeight="1">
      <c r="A33" s="3">
        <v>1110000000</v>
      </c>
      <c r="B33" s="257" t="s">
        <v>129</v>
      </c>
      <c r="C33" s="294">
        <f>SUM(C34:C41)</f>
        <v>11511.6</v>
      </c>
      <c r="D33" s="463">
        <f>D35+D36+D37+D39+D38+D34+D41+D40</f>
        <v>2290.82267</v>
      </c>
      <c r="E33" s="294">
        <f t="shared" si="0"/>
        <v>19.900123961916673</v>
      </c>
      <c r="F33" s="294">
        <f t="shared" si="1"/>
        <v>-9220.7773300000008</v>
      </c>
    </row>
    <row r="34" spans="1:6" s="6" customFormat="1" ht="34.5" customHeight="1">
      <c r="A34" s="7">
        <v>1110105005</v>
      </c>
      <c r="B34" s="256" t="s">
        <v>320</v>
      </c>
      <c r="C34" s="295">
        <v>10</v>
      </c>
      <c r="D34" s="465">
        <v>0</v>
      </c>
      <c r="E34" s="295">
        <f t="shared" si="0"/>
        <v>0</v>
      </c>
      <c r="F34" s="295">
        <f t="shared" si="1"/>
        <v>-10</v>
      </c>
    </row>
    <row r="35" spans="1:6" ht="27.75" hidden="1" customHeight="1">
      <c r="A35" s="7">
        <v>1110305005</v>
      </c>
      <c r="B35" s="258" t="s">
        <v>242</v>
      </c>
      <c r="C35" s="295">
        <v>0</v>
      </c>
      <c r="D35" s="464">
        <v>0</v>
      </c>
      <c r="E35" s="295" t="e">
        <f t="shared" si="0"/>
        <v>#DIV/0!</v>
      </c>
      <c r="F35" s="295">
        <f t="shared" si="1"/>
        <v>0</v>
      </c>
    </row>
    <row r="36" spans="1:6" ht="23.25">
      <c r="A36" s="16">
        <v>1110501101</v>
      </c>
      <c r="B36" s="259" t="s">
        <v>226</v>
      </c>
      <c r="C36" s="362">
        <v>10636.6</v>
      </c>
      <c r="D36" s="464">
        <v>2185.81927</v>
      </c>
      <c r="E36" s="295">
        <f t="shared" si="0"/>
        <v>20.549980914954023</v>
      </c>
      <c r="F36" s="295">
        <f t="shared" si="1"/>
        <v>-8450.7807300000004</v>
      </c>
    </row>
    <row r="37" spans="1:6" ht="20.25" customHeight="1">
      <c r="A37" s="7">
        <v>1110503505</v>
      </c>
      <c r="B37" s="258" t="s">
        <v>225</v>
      </c>
      <c r="C37" s="362">
        <v>350</v>
      </c>
      <c r="D37" s="464">
        <v>44.519219999999997</v>
      </c>
      <c r="E37" s="295">
        <f t="shared" si="0"/>
        <v>12.719777142857142</v>
      </c>
      <c r="F37" s="295">
        <f t="shared" si="1"/>
        <v>-305.48077999999998</v>
      </c>
    </row>
    <row r="38" spans="1:6" ht="131.25" hidden="1">
      <c r="A38" s="7">
        <v>1110502000</v>
      </c>
      <c r="B38" s="256" t="s">
        <v>277</v>
      </c>
      <c r="C38" s="363">
        <v>0</v>
      </c>
      <c r="D38" s="464">
        <v>0</v>
      </c>
      <c r="E38" s="295" t="e">
        <f t="shared" si="0"/>
        <v>#DIV/0!</v>
      </c>
      <c r="F38" s="295">
        <f t="shared" si="1"/>
        <v>0</v>
      </c>
    </row>
    <row r="39" spans="1:6" s="15" customFormat="1" ht="23.25">
      <c r="A39" s="7">
        <v>1110701505</v>
      </c>
      <c r="B39" s="258" t="s">
        <v>243</v>
      </c>
      <c r="C39" s="362">
        <v>20</v>
      </c>
      <c r="D39" s="464">
        <v>0</v>
      </c>
      <c r="E39" s="295">
        <f t="shared" si="0"/>
        <v>0</v>
      </c>
      <c r="F39" s="295">
        <f t="shared" si="1"/>
        <v>-20</v>
      </c>
    </row>
    <row r="40" spans="1:6" s="15" customFormat="1" ht="23.25">
      <c r="A40" s="7">
        <v>1110903000</v>
      </c>
      <c r="B40" s="258" t="s">
        <v>410</v>
      </c>
      <c r="C40" s="362">
        <v>0</v>
      </c>
      <c r="D40" s="464">
        <v>0</v>
      </c>
      <c r="E40" s="295" t="e">
        <f>SUM(D40/C40*100)</f>
        <v>#DIV/0!</v>
      </c>
      <c r="F40" s="295">
        <f>SUM(D40-C40)</f>
        <v>0</v>
      </c>
    </row>
    <row r="41" spans="1:6" s="15" customFormat="1" ht="23.25">
      <c r="A41" s="7">
        <v>1110904505</v>
      </c>
      <c r="B41" s="258" t="s">
        <v>334</v>
      </c>
      <c r="C41" s="362">
        <v>495</v>
      </c>
      <c r="D41" s="464">
        <v>60.484180000000002</v>
      </c>
      <c r="E41" s="295">
        <f t="shared" si="0"/>
        <v>12.219026262626263</v>
      </c>
      <c r="F41" s="295">
        <f t="shared" si="1"/>
        <v>-434.51582000000002</v>
      </c>
    </row>
    <row r="42" spans="1:6" s="15" customFormat="1" ht="37.5">
      <c r="A42" s="68">
        <v>1120000000</v>
      </c>
      <c r="B42" s="257" t="s">
        <v>130</v>
      </c>
      <c r="C42" s="364">
        <f>C43</f>
        <v>600</v>
      </c>
      <c r="D42" s="466">
        <f>D43</f>
        <v>236.94937999999999</v>
      </c>
      <c r="E42" s="294">
        <f t="shared" si="0"/>
        <v>39.491563333333332</v>
      </c>
      <c r="F42" s="294">
        <f t="shared" si="1"/>
        <v>-363.05061999999998</v>
      </c>
    </row>
    <row r="43" spans="1:6" s="15" customFormat="1" ht="37.5">
      <c r="A43" s="7">
        <v>1120100001</v>
      </c>
      <c r="B43" s="256" t="s">
        <v>244</v>
      </c>
      <c r="C43" s="295">
        <v>600</v>
      </c>
      <c r="D43" s="464">
        <v>236.94937999999999</v>
      </c>
      <c r="E43" s="295">
        <f t="shared" si="0"/>
        <v>39.491563333333332</v>
      </c>
      <c r="F43" s="295">
        <f t="shared" si="1"/>
        <v>-363.05061999999998</v>
      </c>
    </row>
    <row r="44" spans="1:6" s="254" customFormat="1" ht="21.75" customHeight="1">
      <c r="A44" s="321">
        <v>1130000000</v>
      </c>
      <c r="B44" s="260" t="s">
        <v>131</v>
      </c>
      <c r="C44" s="294">
        <f>C45+C46</f>
        <v>0</v>
      </c>
      <c r="D44" s="463">
        <f>D45+D46</f>
        <v>13.960789999999999</v>
      </c>
      <c r="E44" s="294" t="e">
        <f t="shared" si="0"/>
        <v>#DIV/0!</v>
      </c>
      <c r="F44" s="294">
        <f t="shared" si="1"/>
        <v>13.960789999999999</v>
      </c>
    </row>
    <row r="45" spans="1:6" s="15" customFormat="1" ht="36" customHeight="1">
      <c r="A45" s="7">
        <v>1130200000</v>
      </c>
      <c r="B45" s="256" t="s">
        <v>330</v>
      </c>
      <c r="C45" s="295">
        <v>0</v>
      </c>
      <c r="D45" s="465">
        <v>13.960789999999999</v>
      </c>
      <c r="E45" s="295" t="e">
        <f>SUM(D45/C45*100)</f>
        <v>#DIV/0!</v>
      </c>
      <c r="F45" s="295">
        <f>SUM(D45-C45)</f>
        <v>13.960789999999999</v>
      </c>
    </row>
    <row r="46" spans="1:6" ht="25.5" customHeight="1">
      <c r="A46" s="7">
        <v>1130305005</v>
      </c>
      <c r="B46" s="256" t="s">
        <v>224</v>
      </c>
      <c r="C46" s="295">
        <v>0</v>
      </c>
      <c r="D46" s="464">
        <v>0</v>
      </c>
      <c r="E46" s="295"/>
      <c r="F46" s="295">
        <f t="shared" si="1"/>
        <v>0</v>
      </c>
    </row>
    <row r="47" spans="1:6" ht="20.25" customHeight="1">
      <c r="A47" s="109">
        <v>1140000000</v>
      </c>
      <c r="B47" s="261" t="s">
        <v>132</v>
      </c>
      <c r="C47" s="294">
        <f>C48+C49</f>
        <v>10300</v>
      </c>
      <c r="D47" s="463">
        <f>D48+D49</f>
        <v>55.000130000000013</v>
      </c>
      <c r="E47" s="294">
        <f t="shared" si="0"/>
        <v>0.53398184466019427</v>
      </c>
      <c r="F47" s="294">
        <f t="shared" si="1"/>
        <v>-10244.99987</v>
      </c>
    </row>
    <row r="48" spans="1:6" ht="23.25">
      <c r="A48" s="16">
        <v>1140200000</v>
      </c>
      <c r="B48" s="262" t="s">
        <v>222</v>
      </c>
      <c r="C48" s="295">
        <v>200</v>
      </c>
      <c r="D48" s="464">
        <v>-88.246399999999994</v>
      </c>
      <c r="E48" s="295">
        <f t="shared" si="0"/>
        <v>-44.123199999999997</v>
      </c>
      <c r="F48" s="295">
        <f t="shared" si="1"/>
        <v>-288.24639999999999</v>
      </c>
    </row>
    <row r="49" spans="1:8" ht="24" customHeight="1">
      <c r="A49" s="7">
        <v>1140600000</v>
      </c>
      <c r="B49" s="256" t="s">
        <v>223</v>
      </c>
      <c r="C49" s="295">
        <v>10100</v>
      </c>
      <c r="D49" s="464">
        <v>143.24653000000001</v>
      </c>
      <c r="E49" s="295">
        <f t="shared" si="0"/>
        <v>1.4182824752475249</v>
      </c>
      <c r="F49" s="295">
        <f t="shared" si="1"/>
        <v>-9956.7534699999997</v>
      </c>
    </row>
    <row r="50" spans="1:8" ht="37.5" hidden="1">
      <c r="A50" s="3">
        <v>1150000000</v>
      </c>
      <c r="B50" s="257" t="s">
        <v>235</v>
      </c>
      <c r="C50" s="294">
        <f>C51</f>
        <v>0</v>
      </c>
      <c r="D50" s="463">
        <f>D51</f>
        <v>0</v>
      </c>
      <c r="E50" s="294" t="e">
        <f t="shared" si="0"/>
        <v>#DIV/0!</v>
      </c>
      <c r="F50" s="294">
        <f t="shared" si="1"/>
        <v>0</v>
      </c>
    </row>
    <row r="51" spans="1:8" ht="56.25" hidden="1">
      <c r="A51" s="7">
        <v>1150205005</v>
      </c>
      <c r="B51" s="256" t="s">
        <v>236</v>
      </c>
      <c r="C51" s="295">
        <v>0</v>
      </c>
      <c r="D51" s="464">
        <v>0</v>
      </c>
      <c r="E51" s="295" t="e">
        <f t="shared" si="0"/>
        <v>#DIV/0!</v>
      </c>
      <c r="F51" s="295">
        <f t="shared" si="1"/>
        <v>0</v>
      </c>
    </row>
    <row r="52" spans="1:8" ht="37.5">
      <c r="A52" s="3">
        <v>1160000000</v>
      </c>
      <c r="B52" s="257" t="s">
        <v>134</v>
      </c>
      <c r="C52" s="294">
        <f>C53+C54+C55+C56+C57+C58+C59+C60+C61+C62+C63+C64+C65+C66+C67+C68</f>
        <v>5600</v>
      </c>
      <c r="D52" s="463">
        <f>D53+D54+D55+D56+D57+D58+D59+D60+D61+D62+D63+D64+D65+D66+D67+D68</f>
        <v>767.57744000000002</v>
      </c>
      <c r="E52" s="294">
        <f>SUM(D52/C52*100)</f>
        <v>13.70674</v>
      </c>
      <c r="F52" s="294">
        <f t="shared" si="1"/>
        <v>-4832.42256</v>
      </c>
      <c r="H52" s="152"/>
    </row>
    <row r="53" spans="1:8" ht="23.25">
      <c r="A53" s="7">
        <v>1160301001</v>
      </c>
      <c r="B53" s="256" t="s">
        <v>245</v>
      </c>
      <c r="C53" s="295">
        <v>10</v>
      </c>
      <c r="D53" s="467">
        <v>2.625</v>
      </c>
      <c r="E53" s="295">
        <f>SUM(D53/C53*100)</f>
        <v>26.25</v>
      </c>
      <c r="F53" s="295">
        <f t="shared" si="1"/>
        <v>-7.375</v>
      </c>
    </row>
    <row r="54" spans="1:8" ht="21" customHeight="1">
      <c r="A54" s="7">
        <v>1160303001</v>
      </c>
      <c r="B54" s="256" t="s">
        <v>246</v>
      </c>
      <c r="C54" s="295">
        <v>7</v>
      </c>
      <c r="D54" s="468">
        <v>2.125</v>
      </c>
      <c r="E54" s="295">
        <f t="shared" si="0"/>
        <v>30.357142857142854</v>
      </c>
      <c r="F54" s="295">
        <f t="shared" si="1"/>
        <v>-4.875</v>
      </c>
    </row>
    <row r="55" spans="1:8" ht="23.25" customHeight="1">
      <c r="A55" s="7">
        <v>1160600000</v>
      </c>
      <c r="B55" s="256" t="s">
        <v>247</v>
      </c>
      <c r="C55" s="419">
        <v>0</v>
      </c>
      <c r="D55" s="468">
        <v>0</v>
      </c>
      <c r="E55" s="295" t="e">
        <f t="shared" si="0"/>
        <v>#DIV/0!</v>
      </c>
      <c r="F55" s="295">
        <f t="shared" si="1"/>
        <v>0</v>
      </c>
    </row>
    <row r="56" spans="1:8" s="15" customFormat="1" ht="48" customHeight="1">
      <c r="A56" s="7">
        <v>1160800001</v>
      </c>
      <c r="B56" s="256" t="s">
        <v>248</v>
      </c>
      <c r="C56" s="295">
        <v>700</v>
      </c>
      <c r="D56" s="468">
        <v>0</v>
      </c>
      <c r="E56" s="295">
        <f t="shared" si="0"/>
        <v>0</v>
      </c>
      <c r="F56" s="295">
        <f t="shared" si="1"/>
        <v>-700</v>
      </c>
    </row>
    <row r="57" spans="1:8" ht="35.25" customHeight="1">
      <c r="A57" s="7">
        <v>1160802001</v>
      </c>
      <c r="B57" s="256" t="s">
        <v>342</v>
      </c>
      <c r="C57" s="419">
        <v>0</v>
      </c>
      <c r="D57" s="464">
        <v>0</v>
      </c>
      <c r="E57" s="295" t="e">
        <f t="shared" si="0"/>
        <v>#DIV/0!</v>
      </c>
      <c r="F57" s="295">
        <f t="shared" si="1"/>
        <v>0</v>
      </c>
    </row>
    <row r="58" spans="1:8" ht="35.25" customHeight="1">
      <c r="A58" s="7">
        <v>1162105005</v>
      </c>
      <c r="B58" s="256" t="s">
        <v>16</v>
      </c>
      <c r="C58" s="295">
        <v>200</v>
      </c>
      <c r="D58" s="464">
        <v>38.500999999999998</v>
      </c>
      <c r="E58" s="295">
        <f t="shared" si="0"/>
        <v>19.250499999999999</v>
      </c>
      <c r="F58" s="295">
        <f t="shared" si="1"/>
        <v>-161.499</v>
      </c>
    </row>
    <row r="59" spans="1:8" ht="35.25" customHeight="1">
      <c r="A59" s="16">
        <v>1162503001</v>
      </c>
      <c r="B59" s="262" t="s">
        <v>333</v>
      </c>
      <c r="C59" s="295">
        <v>90</v>
      </c>
      <c r="D59" s="464">
        <v>0</v>
      </c>
      <c r="E59" s="295">
        <f t="shared" si="0"/>
        <v>0</v>
      </c>
      <c r="F59" s="295">
        <f t="shared" si="1"/>
        <v>-90</v>
      </c>
    </row>
    <row r="60" spans="1:8" ht="21.75" customHeight="1">
      <c r="A60" s="16">
        <v>1162505001</v>
      </c>
      <c r="B60" s="262" t="s">
        <v>345</v>
      </c>
      <c r="C60" s="295">
        <v>20</v>
      </c>
      <c r="D60" s="464">
        <v>0</v>
      </c>
      <c r="E60" s="295">
        <f t="shared" si="0"/>
        <v>0</v>
      </c>
      <c r="F60" s="295">
        <f t="shared" si="1"/>
        <v>-20</v>
      </c>
    </row>
    <row r="61" spans="1:8" ht="20.25" customHeight="1">
      <c r="A61" s="16">
        <v>1162506001</v>
      </c>
      <c r="B61" s="262" t="s">
        <v>269</v>
      </c>
      <c r="C61" s="295">
        <v>70</v>
      </c>
      <c r="D61" s="464">
        <v>39.926499999999997</v>
      </c>
      <c r="E61" s="295">
        <f t="shared" si="0"/>
        <v>57.037857142857142</v>
      </c>
      <c r="F61" s="295">
        <f t="shared" si="1"/>
        <v>-30.073500000000003</v>
      </c>
    </row>
    <row r="62" spans="1:8" ht="0.75" hidden="1" customHeight="1">
      <c r="A62" s="7">
        <v>1162700001</v>
      </c>
      <c r="B62" s="256" t="s">
        <v>249</v>
      </c>
      <c r="C62" s="295">
        <v>0</v>
      </c>
      <c r="D62" s="464">
        <v>0</v>
      </c>
      <c r="E62" s="295" t="e">
        <f t="shared" si="0"/>
        <v>#DIV/0!</v>
      </c>
      <c r="F62" s="295">
        <f t="shared" si="1"/>
        <v>0</v>
      </c>
    </row>
    <row r="63" spans="1:8" ht="37.5" customHeight="1">
      <c r="A63" s="7">
        <v>1162800001</v>
      </c>
      <c r="B63" s="256" t="s">
        <v>238</v>
      </c>
      <c r="C63" s="295">
        <v>450</v>
      </c>
      <c r="D63" s="464">
        <v>29.631270000000001</v>
      </c>
      <c r="E63" s="295">
        <f>SUM(D63/C63*100)</f>
        <v>6.5847266666666666</v>
      </c>
      <c r="F63" s="295">
        <f>SUM(D63-C63)</f>
        <v>-420.36873000000003</v>
      </c>
    </row>
    <row r="64" spans="1:8" ht="36" customHeight="1">
      <c r="A64" s="7">
        <v>1163003001</v>
      </c>
      <c r="B64" s="256" t="s">
        <v>270</v>
      </c>
      <c r="C64" s="295">
        <v>400</v>
      </c>
      <c r="D64" s="464">
        <v>102.5</v>
      </c>
      <c r="E64" s="295">
        <f>SUM(D64/C64*100)</f>
        <v>25.624999999999996</v>
      </c>
      <c r="F64" s="295">
        <f>SUM(D64-C64)</f>
        <v>-297.5</v>
      </c>
    </row>
    <row r="65" spans="1:8" ht="56.25">
      <c r="A65" s="7">
        <v>1164300001</v>
      </c>
      <c r="B65" s="263" t="s">
        <v>262</v>
      </c>
      <c r="C65" s="295">
        <v>320</v>
      </c>
      <c r="D65" s="464">
        <v>34.531500000000001</v>
      </c>
      <c r="E65" s="295">
        <f t="shared" si="0"/>
        <v>10.79109375</v>
      </c>
      <c r="F65" s="295">
        <f t="shared" si="1"/>
        <v>-285.46850000000001</v>
      </c>
    </row>
    <row r="66" spans="1:8" ht="73.5" customHeight="1">
      <c r="A66" s="7">
        <v>1163305005</v>
      </c>
      <c r="B66" s="256" t="s">
        <v>17</v>
      </c>
      <c r="C66" s="295">
        <v>0</v>
      </c>
      <c r="D66" s="464">
        <v>0</v>
      </c>
      <c r="E66" s="295" t="e">
        <f t="shared" si="0"/>
        <v>#DIV/0!</v>
      </c>
      <c r="F66" s="295">
        <f t="shared" si="1"/>
        <v>0</v>
      </c>
    </row>
    <row r="67" spans="1:8" ht="23.25">
      <c r="A67" s="7">
        <v>1163500000</v>
      </c>
      <c r="B67" s="256" t="s">
        <v>331</v>
      </c>
      <c r="C67" s="295">
        <v>0</v>
      </c>
      <c r="D67" s="464">
        <v>0</v>
      </c>
      <c r="E67" s="295" t="e">
        <f t="shared" si="0"/>
        <v>#DIV/0!</v>
      </c>
      <c r="F67" s="295">
        <f t="shared" si="1"/>
        <v>0</v>
      </c>
    </row>
    <row r="68" spans="1:8" ht="35.25" customHeight="1">
      <c r="A68" s="7">
        <v>1169000000</v>
      </c>
      <c r="B68" s="256" t="s">
        <v>237</v>
      </c>
      <c r="C68" s="295">
        <v>3333</v>
      </c>
      <c r="D68" s="464">
        <v>517.73716999999999</v>
      </c>
      <c r="E68" s="295">
        <f t="shared" si="0"/>
        <v>15.533668466846684</v>
      </c>
      <c r="F68" s="295">
        <f t="shared" si="1"/>
        <v>-2815.2628300000001</v>
      </c>
    </row>
    <row r="69" spans="1:8" ht="25.5" customHeight="1">
      <c r="A69" s="3">
        <v>1170000000</v>
      </c>
      <c r="B69" s="257" t="s">
        <v>135</v>
      </c>
      <c r="C69" s="294">
        <f>C70+C71</f>
        <v>0</v>
      </c>
      <c r="D69" s="463">
        <f>D70+D71</f>
        <v>0</v>
      </c>
      <c r="E69" s="295" t="e">
        <f t="shared" si="0"/>
        <v>#DIV/0!</v>
      </c>
      <c r="F69" s="294">
        <f t="shared" si="1"/>
        <v>0</v>
      </c>
    </row>
    <row r="70" spans="1:8" ht="23.25">
      <c r="A70" s="7">
        <v>1170105005</v>
      </c>
      <c r="B70" s="256" t="s">
        <v>18</v>
      </c>
      <c r="C70" s="295">
        <v>0</v>
      </c>
      <c r="D70" s="465">
        <v>0</v>
      </c>
      <c r="E70" s="295" t="e">
        <f t="shared" si="0"/>
        <v>#DIV/0!</v>
      </c>
      <c r="F70" s="295">
        <f t="shared" si="1"/>
        <v>0</v>
      </c>
    </row>
    <row r="71" spans="1:8" ht="23.25">
      <c r="A71" s="7">
        <v>1170505005</v>
      </c>
      <c r="B71" s="258" t="s">
        <v>221</v>
      </c>
      <c r="C71" s="295">
        <v>0</v>
      </c>
      <c r="D71" s="464">
        <v>0</v>
      </c>
      <c r="E71" s="295" t="e">
        <f t="shared" si="0"/>
        <v>#DIV/0!</v>
      </c>
      <c r="F71" s="295">
        <f t="shared" si="1"/>
        <v>0</v>
      </c>
    </row>
    <row r="72" spans="1:8" s="6" customFormat="1" ht="22.5">
      <c r="A72" s="3">
        <v>1000000000</v>
      </c>
      <c r="B72" s="255" t="s">
        <v>19</v>
      </c>
      <c r="C72" s="448">
        <f>SUM(C4,C32)</f>
        <v>161088.99000000002</v>
      </c>
      <c r="D72" s="462">
        <f>SUM(D4,D32)</f>
        <v>22366.241320000001</v>
      </c>
      <c r="E72" s="294">
        <f>SUM(D72/C72*100)</f>
        <v>13.884400988546764</v>
      </c>
      <c r="F72" s="294">
        <f>SUM(D72-C72)</f>
        <v>-138722.74868000002</v>
      </c>
      <c r="G72" s="94"/>
      <c r="H72" s="94"/>
    </row>
    <row r="73" spans="1:8" s="6" customFormat="1" ht="30" customHeight="1">
      <c r="A73" s="3">
        <v>2000000000</v>
      </c>
      <c r="B73" s="255" t="s">
        <v>20</v>
      </c>
      <c r="C73" s="294">
        <f>C74+C77+C78+C79+C81+C76+C80</f>
        <v>579227.79028999992</v>
      </c>
      <c r="D73" s="463">
        <f>D74+D77+D78+D79+D81+D76+D80</f>
        <v>30434.266080000001</v>
      </c>
      <c r="E73" s="294">
        <f t="shared" si="0"/>
        <v>5.2542827865290418</v>
      </c>
      <c r="F73" s="294">
        <f t="shared" si="1"/>
        <v>-548793.52420999995</v>
      </c>
      <c r="G73" s="94"/>
      <c r="H73" s="94"/>
    </row>
    <row r="74" spans="1:8" ht="21.75" customHeight="1">
      <c r="A74" s="16">
        <v>2021000000</v>
      </c>
      <c r="B74" s="259" t="s">
        <v>21</v>
      </c>
      <c r="C74" s="362">
        <v>1931.2</v>
      </c>
      <c r="D74" s="449">
        <v>321.8</v>
      </c>
      <c r="E74" s="295">
        <f t="shared" si="0"/>
        <v>16.663214581607292</v>
      </c>
      <c r="F74" s="295">
        <f t="shared" si="1"/>
        <v>-1609.4</v>
      </c>
    </row>
    <row r="75" spans="1:8" ht="32.25" hidden="1" customHeight="1">
      <c r="A75" s="16">
        <v>2020100905</v>
      </c>
      <c r="B75" s="262" t="s">
        <v>276</v>
      </c>
      <c r="C75" s="362">
        <v>0</v>
      </c>
      <c r="D75" s="449">
        <v>0</v>
      </c>
      <c r="E75" s="295" t="e">
        <f t="shared" si="0"/>
        <v>#DIV/0!</v>
      </c>
      <c r="F75" s="295">
        <f t="shared" si="1"/>
        <v>0</v>
      </c>
    </row>
    <row r="76" spans="1:8" ht="21.75" customHeight="1">
      <c r="A76" s="16">
        <v>2020100310</v>
      </c>
      <c r="B76" s="259" t="s">
        <v>232</v>
      </c>
      <c r="C76" s="362">
        <v>10103.5</v>
      </c>
      <c r="D76" s="449">
        <v>1684</v>
      </c>
      <c r="E76" s="295">
        <f t="shared" si="0"/>
        <v>16.667491463354285</v>
      </c>
      <c r="F76" s="295">
        <f t="shared" si="1"/>
        <v>-8419.5</v>
      </c>
    </row>
    <row r="77" spans="1:8" ht="23.25">
      <c r="A77" s="16">
        <v>2022000000</v>
      </c>
      <c r="B77" s="259" t="s">
        <v>22</v>
      </c>
      <c r="C77" s="362">
        <v>214265.87028999999</v>
      </c>
      <c r="D77" s="361">
        <v>0</v>
      </c>
      <c r="E77" s="295">
        <f t="shared" si="0"/>
        <v>0</v>
      </c>
      <c r="F77" s="295">
        <f t="shared" si="1"/>
        <v>-214265.87028999999</v>
      </c>
    </row>
    <row r="78" spans="1:8" ht="23.25">
      <c r="A78" s="16">
        <v>2023000000</v>
      </c>
      <c r="B78" s="259" t="s">
        <v>23</v>
      </c>
      <c r="C78" s="362">
        <v>328936.52</v>
      </c>
      <c r="D78" s="450">
        <v>54071.682079999999</v>
      </c>
      <c r="E78" s="295">
        <f t="shared" si="0"/>
        <v>16.438333475407351</v>
      </c>
      <c r="F78" s="295">
        <f t="shared" si="1"/>
        <v>-274864.83792000002</v>
      </c>
    </row>
    <row r="79" spans="1:8" ht="19.5" customHeight="1">
      <c r="A79" s="16">
        <v>2024000000</v>
      </c>
      <c r="B79" s="262" t="s">
        <v>24</v>
      </c>
      <c r="C79" s="362">
        <v>23990.7</v>
      </c>
      <c r="D79" s="451">
        <v>3397.2840000000001</v>
      </c>
      <c r="E79" s="295">
        <f t="shared" si="0"/>
        <v>14.16083732446323</v>
      </c>
      <c r="F79" s="295">
        <f t="shared" si="1"/>
        <v>-20593.416000000001</v>
      </c>
    </row>
    <row r="80" spans="1:8" ht="23.25">
      <c r="A80" s="16">
        <v>2180500005</v>
      </c>
      <c r="B80" s="262" t="s">
        <v>325</v>
      </c>
      <c r="C80" s="362">
        <v>0</v>
      </c>
      <c r="D80" s="451">
        <v>0</v>
      </c>
      <c r="E80" s="295" t="e">
        <f t="shared" si="0"/>
        <v>#DIV/0!</v>
      </c>
      <c r="F80" s="295">
        <f t="shared" si="1"/>
        <v>0</v>
      </c>
    </row>
    <row r="81" spans="1:8" ht="22.5" customHeight="1">
      <c r="A81" s="7">
        <v>2196001005</v>
      </c>
      <c r="B81" s="258" t="s">
        <v>26</v>
      </c>
      <c r="C81" s="361">
        <v>0</v>
      </c>
      <c r="D81" s="361">
        <v>-29040.5</v>
      </c>
      <c r="E81" s="295" t="e">
        <f t="shared" si="0"/>
        <v>#DIV/0!</v>
      </c>
      <c r="F81" s="295">
        <f>SUM(D81-C81)</f>
        <v>-29040.5</v>
      </c>
    </row>
    <row r="82" spans="1:8" s="6" customFormat="1" ht="56.25" hidden="1">
      <c r="A82" s="3">
        <v>3000000000</v>
      </c>
      <c r="B82" s="257" t="s">
        <v>27</v>
      </c>
      <c r="C82" s="364">
        <v>0</v>
      </c>
      <c r="D82" s="452">
        <v>0</v>
      </c>
      <c r="E82" s="295" t="e">
        <f t="shared" si="0"/>
        <v>#DIV/0!</v>
      </c>
      <c r="F82" s="294">
        <f t="shared" si="1"/>
        <v>0</v>
      </c>
    </row>
    <row r="83" spans="1:8" s="6" customFormat="1" ht="22.5" customHeight="1">
      <c r="A83" s="3"/>
      <c r="B83" s="255" t="s">
        <v>28</v>
      </c>
      <c r="C83" s="493">
        <f>C72+C73</f>
        <v>740316.78028999991</v>
      </c>
      <c r="D83" s="469">
        <f>D72+D73</f>
        <v>52800.507400000002</v>
      </c>
      <c r="E83" s="295">
        <f>SUM(D83/C83*100)</f>
        <v>7.1321505611850062</v>
      </c>
      <c r="F83" s="294">
        <f>SUM(D84-C83)</f>
        <v>-771538.50006999983</v>
      </c>
      <c r="G83" s="322"/>
      <c r="H83" s="94"/>
    </row>
    <row r="84" spans="1:8" s="6" customFormat="1" ht="22.5">
      <c r="A84" s="3"/>
      <c r="B84" s="264" t="s">
        <v>321</v>
      </c>
      <c r="C84" s="456">
        <f>C83-C144</f>
        <v>-2666.8515700000571</v>
      </c>
      <c r="D84" s="294">
        <f>D83-D144</f>
        <v>-31221.719779999985</v>
      </c>
      <c r="E84" s="296"/>
      <c r="F84" s="296"/>
      <c r="G84" s="94"/>
      <c r="H84" s="94"/>
    </row>
    <row r="85" spans="1:8" ht="23.25">
      <c r="A85" s="23"/>
      <c r="B85" s="24"/>
      <c r="C85" s="365"/>
      <c r="D85" s="365"/>
      <c r="E85" s="297"/>
      <c r="F85" s="297"/>
    </row>
    <row r="86" spans="1:8" ht="63">
      <c r="A86" s="28" t="s">
        <v>1</v>
      </c>
      <c r="B86" s="28" t="s">
        <v>29</v>
      </c>
      <c r="C86" s="298" t="s">
        <v>412</v>
      </c>
      <c r="D86" s="453" t="s">
        <v>421</v>
      </c>
      <c r="E86" s="298" t="s">
        <v>3</v>
      </c>
      <c r="F86" s="299" t="s">
        <v>4</v>
      </c>
    </row>
    <row r="87" spans="1:8" ht="22.5">
      <c r="A87" s="29">
        <v>1</v>
      </c>
      <c r="B87" s="28">
        <v>2</v>
      </c>
      <c r="C87" s="300">
        <v>3</v>
      </c>
      <c r="D87" s="454">
        <v>4</v>
      </c>
      <c r="E87" s="300">
        <v>5</v>
      </c>
      <c r="F87" s="300">
        <v>6</v>
      </c>
    </row>
    <row r="88" spans="1:8" s="6" customFormat="1" ht="22.5">
      <c r="A88" s="30" t="s">
        <v>30</v>
      </c>
      <c r="B88" s="265" t="s">
        <v>31</v>
      </c>
      <c r="C88" s="470">
        <f>SUM(C89:C95)</f>
        <v>46265.18838</v>
      </c>
      <c r="D88" s="470">
        <f>SUM(D89:D95)</f>
        <v>5638.9930299999996</v>
      </c>
      <c r="E88" s="301">
        <f>SUM(D88/C88*100)</f>
        <v>12.188414718392636</v>
      </c>
      <c r="F88" s="301">
        <f>SUM(D88-C88)</f>
        <v>-40626.195350000002</v>
      </c>
    </row>
    <row r="89" spans="1:8" s="6" customFormat="1" ht="37.5">
      <c r="A89" s="35" t="s">
        <v>32</v>
      </c>
      <c r="B89" s="266" t="s">
        <v>33</v>
      </c>
      <c r="C89" s="471">
        <v>50</v>
      </c>
      <c r="D89" s="471">
        <v>0</v>
      </c>
      <c r="E89" s="301">
        <f>SUM(D89/C89*100)</f>
        <v>0</v>
      </c>
      <c r="F89" s="301">
        <f>SUM(D89-C89)</f>
        <v>-50</v>
      </c>
    </row>
    <row r="90" spans="1:8" ht="21.75" customHeight="1">
      <c r="A90" s="35" t="s">
        <v>34</v>
      </c>
      <c r="B90" s="267" t="s">
        <v>35</v>
      </c>
      <c r="C90" s="471">
        <v>21817.662</v>
      </c>
      <c r="D90" s="471">
        <v>2347.4261999999999</v>
      </c>
      <c r="E90" s="302">
        <f t="shared" ref="E90:E144" si="3">SUM(D90/C90*100)</f>
        <v>10.759293090157872</v>
      </c>
      <c r="F90" s="302">
        <f t="shared" ref="F90:F144" si="4">SUM(D90-C90)</f>
        <v>-19470.235800000002</v>
      </c>
    </row>
    <row r="91" spans="1:8" ht="19.5" customHeight="1">
      <c r="A91" s="35" t="s">
        <v>36</v>
      </c>
      <c r="B91" s="267" t="s">
        <v>37</v>
      </c>
      <c r="C91" s="471">
        <v>10.5</v>
      </c>
      <c r="D91" s="471">
        <v>0</v>
      </c>
      <c r="E91" s="302">
        <f t="shared" si="3"/>
        <v>0</v>
      </c>
      <c r="F91" s="302">
        <f t="shared" si="4"/>
        <v>-10.5</v>
      </c>
    </row>
    <row r="92" spans="1:8" ht="38.25" customHeight="1">
      <c r="A92" s="35" t="s">
        <v>38</v>
      </c>
      <c r="B92" s="267" t="s">
        <v>39</v>
      </c>
      <c r="C92" s="472">
        <v>5040.2</v>
      </c>
      <c r="D92" s="472">
        <v>540.32883000000004</v>
      </c>
      <c r="E92" s="302">
        <f t="shared" si="3"/>
        <v>10.720384706956073</v>
      </c>
      <c r="F92" s="302">
        <f t="shared" si="4"/>
        <v>-4499.8711699999994</v>
      </c>
    </row>
    <row r="93" spans="1:8" ht="18.75" customHeight="1">
      <c r="A93" s="35" t="s">
        <v>40</v>
      </c>
      <c r="B93" s="267" t="s">
        <v>41</v>
      </c>
      <c r="C93" s="471">
        <v>0</v>
      </c>
      <c r="D93" s="471">
        <v>0</v>
      </c>
      <c r="E93" s="302" t="e">
        <f t="shared" si="3"/>
        <v>#DIV/0!</v>
      </c>
      <c r="F93" s="302">
        <f t="shared" si="4"/>
        <v>0</v>
      </c>
    </row>
    <row r="94" spans="1:8" ht="24.75" customHeight="1">
      <c r="A94" s="35" t="s">
        <v>42</v>
      </c>
      <c r="B94" s="267" t="s">
        <v>43</v>
      </c>
      <c r="C94" s="472">
        <v>3769.3833800000002</v>
      </c>
      <c r="D94" s="472">
        <v>0</v>
      </c>
      <c r="E94" s="302">
        <f t="shared" si="3"/>
        <v>0</v>
      </c>
      <c r="F94" s="302">
        <f t="shared" si="4"/>
        <v>-3769.3833800000002</v>
      </c>
    </row>
    <row r="95" spans="1:8" ht="24" customHeight="1">
      <c r="A95" s="35" t="s">
        <v>44</v>
      </c>
      <c r="B95" s="267" t="s">
        <v>45</v>
      </c>
      <c r="C95" s="471">
        <v>15577.442999999999</v>
      </c>
      <c r="D95" s="471">
        <v>2751.2379999999998</v>
      </c>
      <c r="E95" s="302">
        <f t="shared" si="3"/>
        <v>17.66167913437398</v>
      </c>
      <c r="F95" s="302">
        <f t="shared" si="4"/>
        <v>-12826.205</v>
      </c>
    </row>
    <row r="96" spans="1:8" s="6" customFormat="1" ht="22.5">
      <c r="A96" s="41" t="s">
        <v>46</v>
      </c>
      <c r="B96" s="268" t="s">
        <v>47</v>
      </c>
      <c r="C96" s="470">
        <f>C97</f>
        <v>2158.6999999999998</v>
      </c>
      <c r="D96" s="470">
        <f>D97</f>
        <v>356</v>
      </c>
      <c r="E96" s="301">
        <f t="shared" si="3"/>
        <v>16.491406865242972</v>
      </c>
      <c r="F96" s="301">
        <f t="shared" si="4"/>
        <v>-1802.6999999999998</v>
      </c>
    </row>
    <row r="97" spans="1:7" ht="23.25">
      <c r="A97" s="43" t="s">
        <v>48</v>
      </c>
      <c r="B97" s="269" t="s">
        <v>49</v>
      </c>
      <c r="C97" s="471">
        <v>2158.6999999999998</v>
      </c>
      <c r="D97" s="471">
        <v>356</v>
      </c>
      <c r="E97" s="302">
        <f t="shared" si="3"/>
        <v>16.491406865242972</v>
      </c>
      <c r="F97" s="302">
        <f t="shared" si="4"/>
        <v>-1802.6999999999998</v>
      </c>
    </row>
    <row r="98" spans="1:7" s="6" customFormat="1" ht="21" customHeight="1">
      <c r="A98" s="30" t="s">
        <v>50</v>
      </c>
      <c r="B98" s="265" t="s">
        <v>51</v>
      </c>
      <c r="C98" s="470">
        <f>SUM(C100:C103)</f>
        <v>11876.5</v>
      </c>
      <c r="D98" s="470">
        <f>SUM(D100:D103)</f>
        <v>359.08497999999997</v>
      </c>
      <c r="E98" s="301">
        <f t="shared" si="3"/>
        <v>3.0234916010609183</v>
      </c>
      <c r="F98" s="301">
        <f t="shared" si="4"/>
        <v>-11517.41502</v>
      </c>
    </row>
    <row r="99" spans="1:7" ht="23.25" hidden="1">
      <c r="A99" s="35" t="s">
        <v>52</v>
      </c>
      <c r="B99" s="267" t="s">
        <v>53</v>
      </c>
      <c r="C99" s="471"/>
      <c r="D99" s="471"/>
      <c r="E99" s="302" t="e">
        <f t="shared" si="3"/>
        <v>#DIV/0!</v>
      </c>
      <c r="F99" s="302">
        <f t="shared" si="4"/>
        <v>0</v>
      </c>
    </row>
    <row r="100" spans="1:7" ht="23.25">
      <c r="A100" s="45" t="s">
        <v>54</v>
      </c>
      <c r="B100" s="267" t="s">
        <v>327</v>
      </c>
      <c r="C100" s="471">
        <v>1808.2</v>
      </c>
      <c r="D100" s="471">
        <v>116.39514</v>
      </c>
      <c r="E100" s="302">
        <f t="shared" si="3"/>
        <v>6.4370722265236147</v>
      </c>
      <c r="F100" s="302">
        <f t="shared" si="4"/>
        <v>-1691.80486</v>
      </c>
    </row>
    <row r="101" spans="1:7" ht="36.75" customHeight="1">
      <c r="A101" s="46" t="s">
        <v>56</v>
      </c>
      <c r="B101" s="270" t="s">
        <v>57</v>
      </c>
      <c r="C101" s="471">
        <v>2277.8000000000002</v>
      </c>
      <c r="D101" s="471">
        <v>242.68984</v>
      </c>
      <c r="E101" s="302">
        <f t="shared" si="3"/>
        <v>10.654571955395555</v>
      </c>
      <c r="F101" s="302">
        <f t="shared" si="4"/>
        <v>-2035.1101600000002</v>
      </c>
    </row>
    <row r="102" spans="1:7" ht="21" customHeight="1">
      <c r="A102" s="46" t="s">
        <v>219</v>
      </c>
      <c r="B102" s="270" t="s">
        <v>220</v>
      </c>
      <c r="C102" s="471">
        <v>0</v>
      </c>
      <c r="D102" s="471">
        <v>0</v>
      </c>
      <c r="E102" s="302" t="e">
        <f t="shared" si="3"/>
        <v>#DIV/0!</v>
      </c>
      <c r="F102" s="302">
        <f t="shared" si="4"/>
        <v>0</v>
      </c>
    </row>
    <row r="103" spans="1:7" ht="34.5" customHeight="1">
      <c r="A103" s="46" t="s">
        <v>358</v>
      </c>
      <c r="B103" s="270" t="s">
        <v>359</v>
      </c>
      <c r="C103" s="473">
        <v>7790.5</v>
      </c>
      <c r="D103" s="471">
        <v>0</v>
      </c>
      <c r="E103" s="302">
        <f t="shared" si="3"/>
        <v>0</v>
      </c>
      <c r="F103" s="302">
        <f t="shared" si="4"/>
        <v>-7790.5</v>
      </c>
    </row>
    <row r="104" spans="1:7" s="6" customFormat="1" ht="25.5" customHeight="1">
      <c r="A104" s="30" t="s">
        <v>58</v>
      </c>
      <c r="B104" s="265" t="s">
        <v>59</v>
      </c>
      <c r="C104" s="474">
        <f>SUM(C106:C109)</f>
        <v>181577.609</v>
      </c>
      <c r="D104" s="474">
        <f>SUM(D106:D109)</f>
        <v>517.18723999999997</v>
      </c>
      <c r="E104" s="301">
        <f t="shared" si="3"/>
        <v>0.28482985476474693</v>
      </c>
      <c r="F104" s="301">
        <f t="shared" si="4"/>
        <v>-181060.42176</v>
      </c>
    </row>
    <row r="105" spans="1:7" ht="0.75" hidden="1" customHeight="1">
      <c r="A105" s="35" t="s">
        <v>60</v>
      </c>
      <c r="B105" s="267" t="s">
        <v>61</v>
      </c>
      <c r="C105" s="475">
        <v>0</v>
      </c>
      <c r="D105" s="471">
        <v>0</v>
      </c>
      <c r="E105" s="302" t="e">
        <f t="shared" si="3"/>
        <v>#DIV/0!</v>
      </c>
      <c r="F105" s="302">
        <f t="shared" si="4"/>
        <v>0</v>
      </c>
    </row>
    <row r="106" spans="1:7" s="6" customFormat="1" ht="20.25" customHeight="1">
      <c r="A106" s="35" t="s">
        <v>60</v>
      </c>
      <c r="B106" s="267" t="s">
        <v>324</v>
      </c>
      <c r="C106" s="475">
        <v>61.3</v>
      </c>
      <c r="D106" s="471">
        <v>0</v>
      </c>
      <c r="E106" s="302">
        <f t="shared" si="3"/>
        <v>0</v>
      </c>
      <c r="F106" s="302">
        <f t="shared" si="4"/>
        <v>-61.3</v>
      </c>
      <c r="G106" s="50"/>
    </row>
    <row r="107" spans="1:7" s="6" customFormat="1" ht="20.25" customHeight="1">
      <c r="A107" s="35" t="s">
        <v>62</v>
      </c>
      <c r="B107" s="267" t="s">
        <v>415</v>
      </c>
      <c r="C107" s="475">
        <v>500</v>
      </c>
      <c r="D107" s="471"/>
      <c r="E107" s="302"/>
      <c r="F107" s="302"/>
      <c r="G107" s="50"/>
    </row>
    <row r="108" spans="1:7" ht="26.25" customHeight="1">
      <c r="A108" s="35" t="s">
        <v>64</v>
      </c>
      <c r="B108" s="267" t="s">
        <v>65</v>
      </c>
      <c r="C108" s="475">
        <v>180186.90900000001</v>
      </c>
      <c r="D108" s="471">
        <v>397.42324000000002</v>
      </c>
      <c r="E108" s="302">
        <f t="shared" si="3"/>
        <v>0.2205616613357855</v>
      </c>
      <c r="F108" s="302">
        <f t="shared" si="4"/>
        <v>-179789.48576000001</v>
      </c>
    </row>
    <row r="109" spans="1:7" ht="38.25">
      <c r="A109" s="35" t="s">
        <v>66</v>
      </c>
      <c r="B109" s="267" t="s">
        <v>67</v>
      </c>
      <c r="C109" s="475">
        <v>829.4</v>
      </c>
      <c r="D109" s="471">
        <v>119.764</v>
      </c>
      <c r="E109" s="302">
        <f t="shared" si="3"/>
        <v>14.439836026042924</v>
      </c>
      <c r="F109" s="302">
        <f t="shared" si="4"/>
        <v>-709.63599999999997</v>
      </c>
    </row>
    <row r="110" spans="1:7" s="6" customFormat="1" ht="37.5">
      <c r="A110" s="30" t="s">
        <v>68</v>
      </c>
      <c r="B110" s="265" t="s">
        <v>69</v>
      </c>
      <c r="C110" s="470">
        <f>SUM(C111:C113)</f>
        <v>11590.40985</v>
      </c>
      <c r="D110" s="470">
        <f>SUM(D111:D113)</f>
        <v>152.22256999999999</v>
      </c>
      <c r="E110" s="301">
        <f t="shared" si="3"/>
        <v>1.3133493290575913</v>
      </c>
      <c r="F110" s="301">
        <f t="shared" si="4"/>
        <v>-11438.18728</v>
      </c>
    </row>
    <row r="111" spans="1:7" ht="23.25">
      <c r="A111" s="35" t="s">
        <v>70</v>
      </c>
      <c r="B111" s="271" t="s">
        <v>71</v>
      </c>
      <c r="C111" s="471">
        <v>1010.6</v>
      </c>
      <c r="D111" s="471">
        <v>152.22256999999999</v>
      </c>
      <c r="E111" s="302">
        <f t="shared" si="3"/>
        <v>15.062593508806648</v>
      </c>
      <c r="F111" s="302">
        <f t="shared" si="4"/>
        <v>-858.37743</v>
      </c>
    </row>
    <row r="112" spans="1:7" ht="23.25" customHeight="1">
      <c r="A112" s="35" t="s">
        <v>72</v>
      </c>
      <c r="B112" s="271" t="s">
        <v>73</v>
      </c>
      <c r="C112" s="471">
        <v>1800</v>
      </c>
      <c r="D112" s="471">
        <v>0</v>
      </c>
      <c r="E112" s="302">
        <f t="shared" si="3"/>
        <v>0</v>
      </c>
      <c r="F112" s="302">
        <f t="shared" si="4"/>
        <v>-1800</v>
      </c>
    </row>
    <row r="113" spans="1:7" ht="19.5" customHeight="1">
      <c r="A113" s="35" t="s">
        <v>74</v>
      </c>
      <c r="B113" s="267" t="s">
        <v>75</v>
      </c>
      <c r="C113" s="471">
        <v>8779.8098499999996</v>
      </c>
      <c r="D113" s="471">
        <v>0</v>
      </c>
      <c r="E113" s="302">
        <f t="shared" si="3"/>
        <v>0</v>
      </c>
      <c r="F113" s="302">
        <f t="shared" si="4"/>
        <v>-8779.8098499999996</v>
      </c>
    </row>
    <row r="114" spans="1:7" s="6" customFormat="1" ht="22.5">
      <c r="A114" s="30" t="s">
        <v>76</v>
      </c>
      <c r="B114" s="272" t="s">
        <v>77</v>
      </c>
      <c r="C114" s="474">
        <f>SUM(C115)</f>
        <v>32</v>
      </c>
      <c r="D114" s="474">
        <f>SUM(D115)</f>
        <v>0</v>
      </c>
      <c r="E114" s="301">
        <f t="shared" si="3"/>
        <v>0</v>
      </c>
      <c r="F114" s="301">
        <f t="shared" si="4"/>
        <v>-32</v>
      </c>
    </row>
    <row r="115" spans="1:7" ht="38.25">
      <c r="A115" s="35" t="s">
        <v>78</v>
      </c>
      <c r="B115" s="271" t="s">
        <v>79</v>
      </c>
      <c r="C115" s="476">
        <v>32</v>
      </c>
      <c r="D115" s="472">
        <v>0</v>
      </c>
      <c r="E115" s="302">
        <f t="shared" si="3"/>
        <v>0</v>
      </c>
      <c r="F115" s="302">
        <f t="shared" si="4"/>
        <v>-32</v>
      </c>
    </row>
    <row r="116" spans="1:7" s="6" customFormat="1" ht="22.5">
      <c r="A116" s="30" t="s">
        <v>80</v>
      </c>
      <c r="B116" s="272" t="s">
        <v>81</v>
      </c>
      <c r="C116" s="474">
        <f>SUM(C117:C121)</f>
        <v>355936.80244999996</v>
      </c>
      <c r="D116" s="474">
        <f>D117+D118+D120+D121+D119</f>
        <v>64370.845399999991</v>
      </c>
      <c r="E116" s="301">
        <f t="shared" si="3"/>
        <v>18.084908600886376</v>
      </c>
      <c r="F116" s="301">
        <f t="shared" si="4"/>
        <v>-291565.95704999997</v>
      </c>
    </row>
    <row r="117" spans="1:7" ht="23.25">
      <c r="A117" s="35" t="s">
        <v>82</v>
      </c>
      <c r="B117" s="271" t="s">
        <v>258</v>
      </c>
      <c r="C117" s="475">
        <v>89551.65</v>
      </c>
      <c r="D117" s="471">
        <v>16062.602000000001</v>
      </c>
      <c r="E117" s="302">
        <f t="shared" si="3"/>
        <v>17.936690167071184</v>
      </c>
      <c r="F117" s="302">
        <f t="shared" si="4"/>
        <v>-73489.047999999995</v>
      </c>
    </row>
    <row r="118" spans="1:7" ht="23.25">
      <c r="A118" s="35" t="s">
        <v>83</v>
      </c>
      <c r="B118" s="271" t="s">
        <v>259</v>
      </c>
      <c r="C118" s="475">
        <v>239029.15244999999</v>
      </c>
      <c r="D118" s="471">
        <v>45437.008309999997</v>
      </c>
      <c r="E118" s="302">
        <f t="shared" si="3"/>
        <v>19.008981893748082</v>
      </c>
      <c r="F118" s="302">
        <f t="shared" si="4"/>
        <v>-193592.14413999999</v>
      </c>
    </row>
    <row r="119" spans="1:7" ht="23.25">
      <c r="A119" s="35" t="s">
        <v>335</v>
      </c>
      <c r="B119" s="271" t="s">
        <v>336</v>
      </c>
      <c r="C119" s="475">
        <v>19444.400000000001</v>
      </c>
      <c r="D119" s="471">
        <v>2591.7510000000002</v>
      </c>
      <c r="E119" s="302">
        <f t="shared" si="3"/>
        <v>13.329035609224249</v>
      </c>
      <c r="F119" s="302">
        <f t="shared" si="4"/>
        <v>-16852.649000000001</v>
      </c>
    </row>
    <row r="120" spans="1:7" ht="23.25">
      <c r="A120" s="35" t="s">
        <v>84</v>
      </c>
      <c r="B120" s="271" t="s">
        <v>260</v>
      </c>
      <c r="C120" s="475">
        <v>5403.3</v>
      </c>
      <c r="D120" s="471">
        <v>7.5279999999999996</v>
      </c>
      <c r="E120" s="302">
        <f t="shared" si="3"/>
        <v>0.1393222660226158</v>
      </c>
      <c r="F120" s="302">
        <f t="shared" si="4"/>
        <v>-5395.7719999999999</v>
      </c>
    </row>
    <row r="121" spans="1:7" ht="23.25">
      <c r="A121" s="35" t="s">
        <v>85</v>
      </c>
      <c r="B121" s="271" t="s">
        <v>261</v>
      </c>
      <c r="C121" s="475">
        <v>2508.3000000000002</v>
      </c>
      <c r="D121" s="471">
        <v>271.95609000000002</v>
      </c>
      <c r="E121" s="302">
        <f t="shared" si="3"/>
        <v>10.842247338835067</v>
      </c>
      <c r="F121" s="302">
        <f t="shared" si="4"/>
        <v>-2236.3439100000001</v>
      </c>
    </row>
    <row r="122" spans="1:7" s="6" customFormat="1" ht="22.5">
      <c r="A122" s="30" t="s">
        <v>86</v>
      </c>
      <c r="B122" s="265" t="s">
        <v>87</v>
      </c>
      <c r="C122" s="470">
        <f>SUM(C123:C124)</f>
        <v>50616.459340000001</v>
      </c>
      <c r="D122" s="470">
        <f>SUM(D123:D124)</f>
        <v>6317.1573699999999</v>
      </c>
      <c r="E122" s="301">
        <f t="shared" si="3"/>
        <v>12.480441050936614</v>
      </c>
      <c r="F122" s="301">
        <f t="shared" si="4"/>
        <v>-44299.30197</v>
      </c>
    </row>
    <row r="123" spans="1:7" ht="23.25">
      <c r="A123" s="35" t="s">
        <v>88</v>
      </c>
      <c r="B123" s="267" t="s">
        <v>234</v>
      </c>
      <c r="C123" s="471">
        <v>49516.459340000001</v>
      </c>
      <c r="D123" s="471">
        <v>5838.8162700000003</v>
      </c>
      <c r="E123" s="302">
        <f t="shared" si="3"/>
        <v>11.791667554233493</v>
      </c>
      <c r="F123" s="302">
        <f t="shared" si="4"/>
        <v>-43677.643069999998</v>
      </c>
    </row>
    <row r="124" spans="1:7" ht="38.25">
      <c r="A124" s="35" t="s">
        <v>273</v>
      </c>
      <c r="B124" s="267" t="s">
        <v>274</v>
      </c>
      <c r="C124" s="471">
        <v>1100</v>
      </c>
      <c r="D124" s="471">
        <v>478.34109999999998</v>
      </c>
      <c r="E124" s="302">
        <f t="shared" si="3"/>
        <v>43.485554545454548</v>
      </c>
      <c r="F124" s="302">
        <f t="shared" si="4"/>
        <v>-621.65890000000002</v>
      </c>
    </row>
    <row r="125" spans="1:7" s="6" customFormat="1" ht="22.5">
      <c r="A125" s="52">
        <v>1000</v>
      </c>
      <c r="B125" s="265" t="s">
        <v>89</v>
      </c>
      <c r="C125" s="470">
        <f>SUM(C126:C129)</f>
        <v>43868.770270000001</v>
      </c>
      <c r="D125" s="477">
        <f>D126+D127+D128+D129</f>
        <v>655.89083999999991</v>
      </c>
      <c r="E125" s="301">
        <f t="shared" si="3"/>
        <v>1.4951201867824773</v>
      </c>
      <c r="F125" s="301">
        <f t="shared" si="4"/>
        <v>-43212.879430000001</v>
      </c>
      <c r="G125" s="94"/>
    </row>
    <row r="126" spans="1:7" ht="23.25">
      <c r="A126" s="53">
        <v>1001</v>
      </c>
      <c r="B126" s="273" t="s">
        <v>90</v>
      </c>
      <c r="C126" s="471">
        <v>60</v>
      </c>
      <c r="D126" s="471">
        <v>0</v>
      </c>
      <c r="E126" s="302">
        <f t="shared" si="3"/>
        <v>0</v>
      </c>
      <c r="F126" s="302">
        <f t="shared" si="4"/>
        <v>-60</v>
      </c>
    </row>
    <row r="127" spans="1:7" ht="23.25">
      <c r="A127" s="53">
        <v>1003</v>
      </c>
      <c r="B127" s="273" t="s">
        <v>91</v>
      </c>
      <c r="C127" s="471">
        <v>39720.250269999997</v>
      </c>
      <c r="D127" s="471">
        <v>650.52261999999996</v>
      </c>
      <c r="E127" s="302">
        <f t="shared" si="3"/>
        <v>1.6377606273325227</v>
      </c>
      <c r="F127" s="302">
        <f t="shared" si="4"/>
        <v>-39069.727649999993</v>
      </c>
    </row>
    <row r="128" spans="1:7" ht="23.25">
      <c r="A128" s="53">
        <v>1004</v>
      </c>
      <c r="B128" s="273" t="s">
        <v>92</v>
      </c>
      <c r="C128" s="471">
        <v>3943.12</v>
      </c>
      <c r="D128" s="478">
        <v>0</v>
      </c>
      <c r="E128" s="302">
        <f t="shared" si="3"/>
        <v>0</v>
      </c>
      <c r="F128" s="302">
        <f t="shared" si="4"/>
        <v>-3943.12</v>
      </c>
    </row>
    <row r="129" spans="1:8" ht="24.75" customHeight="1">
      <c r="A129" s="35" t="s">
        <v>93</v>
      </c>
      <c r="B129" s="267" t="s">
        <v>94</v>
      </c>
      <c r="C129" s="471">
        <v>145.4</v>
      </c>
      <c r="D129" s="471">
        <v>5.36822</v>
      </c>
      <c r="E129" s="302">
        <f t="shared" si="3"/>
        <v>3.6920357634112793</v>
      </c>
      <c r="F129" s="302">
        <f t="shared" si="4"/>
        <v>-140.03178</v>
      </c>
    </row>
    <row r="130" spans="1:8" ht="23.25">
      <c r="A130" s="30" t="s">
        <v>95</v>
      </c>
      <c r="B130" s="265" t="s">
        <v>96</v>
      </c>
      <c r="C130" s="470">
        <f>C131+C132</f>
        <v>5336.9</v>
      </c>
      <c r="D130" s="470">
        <f>D131+D132</f>
        <v>939.27974999999992</v>
      </c>
      <c r="E130" s="302">
        <f t="shared" si="3"/>
        <v>17.599725496074502</v>
      </c>
      <c r="F130" s="296">
        <f>F131+F132+F133+F134+F135</f>
        <v>-4397.6202499999999</v>
      </c>
    </row>
    <row r="131" spans="1:8" ht="23.25">
      <c r="A131" s="35" t="s">
        <v>97</v>
      </c>
      <c r="B131" s="267" t="s">
        <v>98</v>
      </c>
      <c r="C131" s="471">
        <v>350</v>
      </c>
      <c r="D131" s="471">
        <v>105.25875000000001</v>
      </c>
      <c r="E131" s="302">
        <f t="shared" si="3"/>
        <v>30.073928571428571</v>
      </c>
      <c r="F131" s="302">
        <f t="shared" ref="F131:F139" si="5">SUM(D131-C131)</f>
        <v>-244.74124999999998</v>
      </c>
    </row>
    <row r="132" spans="1:8" ht="20.25" customHeight="1">
      <c r="A132" s="35" t="s">
        <v>99</v>
      </c>
      <c r="B132" s="267" t="s">
        <v>100</v>
      </c>
      <c r="C132" s="471">
        <v>4986.8999999999996</v>
      </c>
      <c r="D132" s="471">
        <v>834.02099999999996</v>
      </c>
      <c r="E132" s="302">
        <f t="shared" si="3"/>
        <v>16.72423750225591</v>
      </c>
      <c r="F132" s="302">
        <f t="shared" si="5"/>
        <v>-4152.8789999999999</v>
      </c>
    </row>
    <row r="133" spans="1:8" ht="15.75" hidden="1" customHeight="1">
      <c r="A133" s="35" t="s">
        <v>101</v>
      </c>
      <c r="B133" s="267" t="s">
        <v>102</v>
      </c>
      <c r="C133" s="471">
        <f>SUM(C123:C124)</f>
        <v>50616.459340000001</v>
      </c>
      <c r="D133" s="471"/>
      <c r="E133" s="302">
        <f t="shared" si="3"/>
        <v>0</v>
      </c>
      <c r="F133" s="302"/>
    </row>
    <row r="134" spans="1:8" ht="15.75" hidden="1" customHeight="1">
      <c r="A134" s="35" t="s">
        <v>103</v>
      </c>
      <c r="B134" s="267" t="s">
        <v>104</v>
      </c>
      <c r="C134" s="471"/>
      <c r="D134" s="471"/>
      <c r="E134" s="302" t="e">
        <f t="shared" si="3"/>
        <v>#DIV/0!</v>
      </c>
      <c r="F134" s="302"/>
    </row>
    <row r="135" spans="1:8" ht="15.75" hidden="1" customHeight="1">
      <c r="A135" s="35" t="s">
        <v>105</v>
      </c>
      <c r="B135" s="267" t="s">
        <v>106</v>
      </c>
      <c r="C135" s="471"/>
      <c r="D135" s="471"/>
      <c r="E135" s="302" t="e">
        <f t="shared" si="3"/>
        <v>#DIV/0!</v>
      </c>
      <c r="F135" s="302"/>
    </row>
    <row r="136" spans="1:8" ht="20.25" customHeight="1">
      <c r="A136" s="30" t="s">
        <v>107</v>
      </c>
      <c r="B136" s="265" t="s">
        <v>108</v>
      </c>
      <c r="C136" s="470">
        <f>C137</f>
        <v>45.14</v>
      </c>
      <c r="D136" s="479">
        <f>D137</f>
        <v>0</v>
      </c>
      <c r="E136" s="302">
        <f>SUM(D136/C136*100)</f>
        <v>0</v>
      </c>
      <c r="F136" s="302">
        <f t="shared" si="5"/>
        <v>-45.14</v>
      </c>
    </row>
    <row r="137" spans="1:8" ht="22.5" customHeight="1">
      <c r="A137" s="35" t="s">
        <v>109</v>
      </c>
      <c r="B137" s="267" t="s">
        <v>110</v>
      </c>
      <c r="C137" s="471">
        <v>45.14</v>
      </c>
      <c r="D137" s="471">
        <v>0</v>
      </c>
      <c r="E137" s="302">
        <f t="shared" si="3"/>
        <v>0</v>
      </c>
      <c r="F137" s="302">
        <f t="shared" si="5"/>
        <v>-45.14</v>
      </c>
    </row>
    <row r="138" spans="1:8" ht="19.5" hidden="1" customHeight="1">
      <c r="A138" s="30" t="s">
        <v>111</v>
      </c>
      <c r="B138" s="268" t="s">
        <v>112</v>
      </c>
      <c r="C138" s="480">
        <f>C139</f>
        <v>0</v>
      </c>
      <c r="D138" s="480">
        <v>0</v>
      </c>
      <c r="E138" s="302"/>
      <c r="F138" s="301">
        <f t="shared" si="5"/>
        <v>0</v>
      </c>
    </row>
    <row r="139" spans="1:8" ht="37.5" hidden="1" customHeight="1">
      <c r="A139" s="35" t="s">
        <v>113</v>
      </c>
      <c r="B139" s="269" t="s">
        <v>114</v>
      </c>
      <c r="C139" s="472">
        <v>0</v>
      </c>
      <c r="D139" s="472">
        <v>0</v>
      </c>
      <c r="E139" s="301"/>
      <c r="F139" s="302">
        <f t="shared" si="5"/>
        <v>0</v>
      </c>
    </row>
    <row r="140" spans="1:8" s="6" customFormat="1" ht="19.5" customHeight="1">
      <c r="A140" s="52">
        <v>1400</v>
      </c>
      <c r="B140" s="274" t="s">
        <v>115</v>
      </c>
      <c r="C140" s="474">
        <f>C141+C142+C143</f>
        <v>33679.152569999998</v>
      </c>
      <c r="D140" s="474">
        <f>D141+D142+D143</f>
        <v>4715.5659999999998</v>
      </c>
      <c r="E140" s="301">
        <f t="shared" si="3"/>
        <v>14.001438991669973</v>
      </c>
      <c r="F140" s="301">
        <f t="shared" si="4"/>
        <v>-28963.586569999999</v>
      </c>
    </row>
    <row r="141" spans="1:8" ht="40.5" customHeight="1">
      <c r="A141" s="53">
        <v>1401</v>
      </c>
      <c r="B141" s="273" t="s">
        <v>116</v>
      </c>
      <c r="C141" s="475">
        <v>28294</v>
      </c>
      <c r="D141" s="471">
        <v>4715.5659999999998</v>
      </c>
      <c r="E141" s="302">
        <f t="shared" si="3"/>
        <v>16.66631087863151</v>
      </c>
      <c r="F141" s="302">
        <f t="shared" si="4"/>
        <v>-23578.434000000001</v>
      </c>
    </row>
    <row r="142" spans="1:8" ht="24.75" customHeight="1">
      <c r="A142" s="53">
        <v>1402</v>
      </c>
      <c r="B142" s="273" t="s">
        <v>117</v>
      </c>
      <c r="C142" s="475">
        <v>5014</v>
      </c>
      <c r="D142" s="471">
        <v>0</v>
      </c>
      <c r="E142" s="302">
        <f t="shared" si="3"/>
        <v>0</v>
      </c>
      <c r="F142" s="302">
        <f t="shared" si="4"/>
        <v>-5014</v>
      </c>
    </row>
    <row r="143" spans="1:8" ht="27" customHeight="1">
      <c r="A143" s="53">
        <v>1403</v>
      </c>
      <c r="B143" s="273" t="s">
        <v>118</v>
      </c>
      <c r="C143" s="475">
        <v>371.15257000000003</v>
      </c>
      <c r="D143" s="471">
        <v>0</v>
      </c>
      <c r="E143" s="302">
        <f t="shared" si="3"/>
        <v>0</v>
      </c>
      <c r="F143" s="302">
        <f t="shared" si="4"/>
        <v>-371.15257000000003</v>
      </c>
    </row>
    <row r="144" spans="1:8" s="6" customFormat="1" ht="22.5">
      <c r="A144" s="52"/>
      <c r="B144" s="275" t="s">
        <v>119</v>
      </c>
      <c r="C144" s="493">
        <f>C88+C96+C98+C104+C110+C114+C116+C122+C125+C130+C136+C138+C140</f>
        <v>742983.63185999996</v>
      </c>
      <c r="D144" s="481">
        <f>D88+D96+D98+D104+D110+D114+D116+D122+D125+D130+D136+D138+D140</f>
        <v>84022.227179999987</v>
      </c>
      <c r="E144" s="301">
        <f t="shared" si="3"/>
        <v>11.308758844344535</v>
      </c>
      <c r="F144" s="301">
        <f t="shared" si="4"/>
        <v>-658961.40467999992</v>
      </c>
      <c r="G144" s="94"/>
      <c r="H144" s="94"/>
    </row>
    <row r="145" spans="1:4">
      <c r="C145" s="366"/>
      <c r="D145" s="455"/>
    </row>
    <row r="146" spans="1:4" s="65" customFormat="1" ht="12.75">
      <c r="A146" s="63" t="s">
        <v>120</v>
      </c>
      <c r="B146" s="63"/>
      <c r="C146" s="134"/>
      <c r="D146" s="134"/>
    </row>
    <row r="147" spans="1:4" s="65" customFormat="1" ht="12.75">
      <c r="A147" s="66" t="s">
        <v>121</v>
      </c>
      <c r="B147" s="66"/>
      <c r="C147" s="134" t="s">
        <v>122</v>
      </c>
      <c r="D147" s="134"/>
    </row>
  </sheetData>
  <customSheetViews>
    <customSheetView guid="{37D0E254-14A1-48DF-98B1-097427A51078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 topLeftCell="A74">
      <selection activeCell="D144" sqref="D144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4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6"/>
      <headerFooter alignWithMargins="0"/>
    </customSheetView>
    <customSheetView guid="{61528DAC-5C4C-48F4-ADE2-8A724B05A086}" scale="60" showPageBreaks="1" hiddenRows="1" view="pageBreakPreview" topLeftCell="A48">
      <selection activeCell="C3" sqref="C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  <customSheetView guid="{B30CE22D-C12F-4E12-8BB9-3AAE0A6991CC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0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zoomScale="70" zoomScaleNormal="100" zoomScaleSheetLayoutView="70" workbookViewId="0">
      <selection activeCell="A67" sqref="A67:XFD67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40" t="s">
        <v>422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537.81500000000005</v>
      </c>
      <c r="D4" s="5">
        <f>D5+D12+D14+D17+D20+D7</f>
        <v>71.858339999999998</v>
      </c>
      <c r="E4" s="5">
        <f>SUM(D4/C4*100)</f>
        <v>13.361163225272628</v>
      </c>
      <c r="F4" s="5">
        <f>SUM(D4-C4)</f>
        <v>-465.95666000000006</v>
      </c>
    </row>
    <row r="5" spans="1:6" s="6" customFormat="1">
      <c r="A5" s="68">
        <v>1010000000</v>
      </c>
      <c r="B5" s="67" t="s">
        <v>6</v>
      </c>
      <c r="C5" s="5">
        <f>C6</f>
        <v>68.849999999999994</v>
      </c>
      <c r="D5" s="5">
        <f>D6</f>
        <v>3.7446799999999998</v>
      </c>
      <c r="E5" s="5">
        <f t="shared" ref="E5:E47" si="0">SUM(D5/C5*100)</f>
        <v>5.4388961510530143</v>
      </c>
      <c r="F5" s="5">
        <f t="shared" ref="F5:F47" si="1">SUM(D5-C5)</f>
        <v>-65.105319999999992</v>
      </c>
    </row>
    <row r="6" spans="1:6">
      <c r="A6" s="7">
        <v>1010200001</v>
      </c>
      <c r="B6" s="8" t="s">
        <v>229</v>
      </c>
      <c r="C6" s="9">
        <v>68.849999999999994</v>
      </c>
      <c r="D6" s="10">
        <v>3.7446799999999998</v>
      </c>
      <c r="E6" s="9">
        <f t="shared" ref="E6:E11" si="2">SUM(D6/C6*100)</f>
        <v>5.4388961510530143</v>
      </c>
      <c r="F6" s="9">
        <f t="shared" si="1"/>
        <v>-65.105319999999992</v>
      </c>
    </row>
    <row r="7" spans="1:6" ht="31.5">
      <c r="A7" s="3">
        <v>1030000000</v>
      </c>
      <c r="B7" s="13" t="s">
        <v>281</v>
      </c>
      <c r="C7" s="5">
        <f>C8+C10+C9</f>
        <v>221.96500000000003</v>
      </c>
      <c r="D7" s="5">
        <f>D8+D10+D9+D11</f>
        <v>45.217329999999997</v>
      </c>
      <c r="E7" s="9">
        <f t="shared" si="2"/>
        <v>20.371378370463809</v>
      </c>
      <c r="F7" s="9">
        <f t="shared" si="1"/>
        <v>-176.74767000000003</v>
      </c>
    </row>
    <row r="8" spans="1:6">
      <c r="A8" s="7">
        <v>1030223001</v>
      </c>
      <c r="B8" s="8" t="s">
        <v>283</v>
      </c>
      <c r="C8" s="9">
        <v>82.8</v>
      </c>
      <c r="D8" s="10">
        <v>20.027799999999999</v>
      </c>
      <c r="E8" s="9">
        <f t="shared" si="2"/>
        <v>24.188164251207731</v>
      </c>
      <c r="F8" s="9">
        <f t="shared" si="1"/>
        <v>-62.772199999999998</v>
      </c>
    </row>
    <row r="9" spans="1:6">
      <c r="A9" s="7">
        <v>1030224001</v>
      </c>
      <c r="B9" s="8" t="s">
        <v>287</v>
      </c>
      <c r="C9" s="9">
        <v>0.86499999999999999</v>
      </c>
      <c r="D9" s="10">
        <v>0.13588</v>
      </c>
      <c r="E9" s="9">
        <f t="shared" si="2"/>
        <v>15.708670520231212</v>
      </c>
      <c r="F9" s="9">
        <f t="shared" si="1"/>
        <v>-0.72911999999999999</v>
      </c>
    </row>
    <row r="10" spans="1:6">
      <c r="A10" s="7">
        <v>1030225001</v>
      </c>
      <c r="B10" s="8" t="s">
        <v>282</v>
      </c>
      <c r="C10" s="9">
        <v>138.30000000000001</v>
      </c>
      <c r="D10" s="10">
        <v>29.41686</v>
      </c>
      <c r="E10" s="9">
        <f t="shared" si="2"/>
        <v>21.270325379609542</v>
      </c>
      <c r="F10" s="9">
        <f t="shared" si="1"/>
        <v>-108.88314000000001</v>
      </c>
    </row>
    <row r="11" spans="1:6">
      <c r="A11" s="7">
        <v>1030226001</v>
      </c>
      <c r="B11" s="8" t="s">
        <v>288</v>
      </c>
      <c r="C11" s="9">
        <v>0</v>
      </c>
      <c r="D11" s="10">
        <v>-4.3632099999999996</v>
      </c>
      <c r="E11" s="9" t="e">
        <f t="shared" si="2"/>
        <v>#DIV/0!</v>
      </c>
      <c r="F11" s="9">
        <f t="shared" si="1"/>
        <v>-4.3632099999999996</v>
      </c>
    </row>
    <row r="12" spans="1:6" s="6" customFormat="1">
      <c r="A12" s="68">
        <v>1050000000</v>
      </c>
      <c r="B12" s="67" t="s">
        <v>7</v>
      </c>
      <c r="C12" s="5">
        <f>C13</f>
        <v>2</v>
      </c>
      <c r="D12" s="5">
        <f>D13</f>
        <v>0</v>
      </c>
      <c r="E12" s="5">
        <f t="shared" si="0"/>
        <v>0</v>
      </c>
      <c r="F12" s="5">
        <f t="shared" si="1"/>
        <v>-2</v>
      </c>
    </row>
    <row r="13" spans="1:6" ht="15.75" customHeight="1">
      <c r="A13" s="7">
        <v>1050300000</v>
      </c>
      <c r="B13" s="11" t="s">
        <v>230</v>
      </c>
      <c r="C13" s="12">
        <v>2</v>
      </c>
      <c r="D13" s="10">
        <v>0</v>
      </c>
      <c r="E13" s="9">
        <f t="shared" si="0"/>
        <v>0</v>
      </c>
      <c r="F13" s="9">
        <f t="shared" si="1"/>
        <v>-2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240</v>
      </c>
      <c r="D14" s="5">
        <f>D15+D16</f>
        <v>22.796329999999998</v>
      </c>
      <c r="E14" s="5">
        <f t="shared" si="0"/>
        <v>9.4984708333333323</v>
      </c>
      <c r="F14" s="5">
        <f t="shared" si="1"/>
        <v>-217.20366999999999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9.9561299999999999</v>
      </c>
      <c r="E15" s="9">
        <f t="shared" si="0"/>
        <v>24.890325000000001</v>
      </c>
      <c r="F15" s="9">
        <f>SUM(D15-C15)</f>
        <v>-30.043869999999998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v>12.840199999999999</v>
      </c>
      <c r="E16" s="9">
        <f t="shared" si="0"/>
        <v>6.4200999999999997</v>
      </c>
      <c r="F16" s="9">
        <f t="shared" si="1"/>
        <v>-187.15979999999999</v>
      </c>
    </row>
    <row r="17" spans="1:6" s="6" customFormat="1" ht="15" customHeight="1">
      <c r="A17" s="3">
        <v>1080000000</v>
      </c>
      <c r="B17" s="4" t="s">
        <v>11</v>
      </c>
      <c r="C17" s="5">
        <f>C18</f>
        <v>5</v>
      </c>
      <c r="D17" s="5">
        <f>D18</f>
        <v>0.1</v>
      </c>
      <c r="E17" s="9">
        <f t="shared" si="0"/>
        <v>2</v>
      </c>
      <c r="F17" s="5">
        <f t="shared" si="1"/>
        <v>-4.9000000000000004</v>
      </c>
    </row>
    <row r="18" spans="1:6" ht="18.75" customHeight="1">
      <c r="A18" s="7">
        <v>1080402001</v>
      </c>
      <c r="B18" s="8" t="s">
        <v>228</v>
      </c>
      <c r="C18" s="9">
        <v>5</v>
      </c>
      <c r="D18" s="10">
        <v>0.1</v>
      </c>
      <c r="E18" s="9">
        <f t="shared" si="0"/>
        <v>2</v>
      </c>
      <c r="F18" s="9">
        <f t="shared" si="1"/>
        <v>-4.9000000000000004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55</v>
      </c>
      <c r="D25" s="5">
        <f>D26+D31+D34+D29</f>
        <v>6.3845299999999998</v>
      </c>
      <c r="E25" s="5">
        <f t="shared" si="0"/>
        <v>11.608236363636363</v>
      </c>
      <c r="F25" s="5">
        <f t="shared" si="1"/>
        <v>-48.615470000000002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2.5" customHeight="1">
      <c r="A27" s="16">
        <v>1110502000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 hidden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131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224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7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592.81500000000005</v>
      </c>
      <c r="D37" s="127">
        <f>SUM(D4,D25)</f>
        <v>78.242869999999996</v>
      </c>
      <c r="E37" s="5">
        <f t="shared" si="0"/>
        <v>13.198530738932043</v>
      </c>
      <c r="F37" s="5">
        <f t="shared" si="1"/>
        <v>-514.57213000000002</v>
      </c>
    </row>
    <row r="38" spans="1:11" s="6" customFormat="1">
      <c r="A38" s="3">
        <v>2000000000</v>
      </c>
      <c r="B38" s="4" t="s">
        <v>20</v>
      </c>
      <c r="C38" s="280">
        <f>C39+C40+C41+C42+C43+C44</f>
        <v>2049.65796</v>
      </c>
      <c r="D38" s="280">
        <f>D39+D40+D41+D42+D43+D45</f>
        <v>214.95000000000002</v>
      </c>
      <c r="E38" s="5">
        <f t="shared" si="0"/>
        <v>10.48711561610992</v>
      </c>
      <c r="F38" s="5">
        <f t="shared" si="1"/>
        <v>-1834.70796</v>
      </c>
      <c r="G38" s="19"/>
    </row>
    <row r="39" spans="1:11">
      <c r="A39" s="16">
        <v>2021000000</v>
      </c>
      <c r="B39" s="17" t="s">
        <v>21</v>
      </c>
      <c r="C39" s="333">
        <v>1200.7</v>
      </c>
      <c r="D39" s="20">
        <v>200.11600000000001</v>
      </c>
      <c r="E39" s="9">
        <f t="shared" si="0"/>
        <v>16.666611143499626</v>
      </c>
      <c r="F39" s="9">
        <f t="shared" si="1"/>
        <v>-1000.5840000000001</v>
      </c>
    </row>
    <row r="40" spans="1:11">
      <c r="A40" s="16">
        <v>2021500200</v>
      </c>
      <c r="B40" s="17" t="s">
        <v>232</v>
      </c>
      <c r="C40" s="330">
        <v>110</v>
      </c>
      <c r="D40" s="20">
        <v>0</v>
      </c>
      <c r="E40" s="9">
        <f>SUM(D40/C40*100)</f>
        <v>0</v>
      </c>
      <c r="F40" s="9">
        <f>SUM(D40-C40)</f>
        <v>-110</v>
      </c>
    </row>
    <row r="41" spans="1:11">
      <c r="A41" s="16">
        <v>2022000000</v>
      </c>
      <c r="B41" s="17" t="s">
        <v>22</v>
      </c>
      <c r="C41" s="330">
        <v>586.99900000000002</v>
      </c>
      <c r="D41" s="10">
        <v>0</v>
      </c>
      <c r="E41" s="9">
        <f t="shared" si="0"/>
        <v>0</v>
      </c>
      <c r="F41" s="9">
        <f t="shared" si="1"/>
        <v>-586.99900000000002</v>
      </c>
    </row>
    <row r="42" spans="1:11" ht="19.5" customHeight="1">
      <c r="A42" s="16">
        <v>2023000000</v>
      </c>
      <c r="B42" s="17" t="s">
        <v>23</v>
      </c>
      <c r="C42" s="330">
        <v>91.480999999999995</v>
      </c>
      <c r="D42" s="251">
        <v>14.834</v>
      </c>
      <c r="E42" s="9">
        <f t="shared" si="0"/>
        <v>16.215388987877262</v>
      </c>
      <c r="F42" s="9">
        <f t="shared" si="1"/>
        <v>-76.646999999999991</v>
      </c>
    </row>
    <row r="43" spans="1:11">
      <c r="A43" s="7">
        <v>2070500010</v>
      </c>
      <c r="B43" s="17" t="s">
        <v>357</v>
      </c>
      <c r="C43" s="330">
        <v>60.477960000000003</v>
      </c>
      <c r="D43" s="252">
        <v>0</v>
      </c>
      <c r="E43" s="9">
        <f t="shared" si="0"/>
        <v>0</v>
      </c>
      <c r="F43" s="9">
        <f t="shared" si="1"/>
        <v>-60.477960000000003</v>
      </c>
    </row>
    <row r="44" spans="1:11" ht="15.75" customHeight="1">
      <c r="A44" s="16">
        <v>2022999910</v>
      </c>
      <c r="B44" s="18" t="s">
        <v>350</v>
      </c>
      <c r="C44" s="330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39">
        <v>0</v>
      </c>
      <c r="D45" s="327">
        <v>0</v>
      </c>
      <c r="E45" s="5" t="e">
        <f t="shared" si="0"/>
        <v>#DIV/0!</v>
      </c>
      <c r="F45" s="5">
        <f>SUM(D45-C45)</f>
        <v>0</v>
      </c>
    </row>
    <row r="46" spans="1:11" s="6" customFormat="1" ht="31.5" hidden="1" customHeight="1">
      <c r="A46" s="3">
        <v>3000000000</v>
      </c>
      <c r="B46" s="13" t="s">
        <v>27</v>
      </c>
      <c r="C46" s="340">
        <v>0</v>
      </c>
      <c r="D46" s="341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87">
        <f>C37+C38</f>
        <v>2642.4729600000001</v>
      </c>
      <c r="D47" s="388">
        <f>D37+D38</f>
        <v>293.19287000000003</v>
      </c>
      <c r="E47" s="5">
        <f t="shared" si="0"/>
        <v>11.095397169172925</v>
      </c>
      <c r="F47" s="5">
        <f t="shared" si="1"/>
        <v>-2349.2800900000002</v>
      </c>
      <c r="G47" s="293"/>
      <c r="H47" s="293"/>
      <c r="K47" s="130"/>
    </row>
    <row r="48" spans="1:11" s="6" customFormat="1">
      <c r="A48" s="3"/>
      <c r="B48" s="21" t="s">
        <v>322</v>
      </c>
      <c r="C48" s="387">
        <f>C47-C94</f>
        <v>-171.27349999999979</v>
      </c>
      <c r="D48" s="387">
        <f>D47-D94</f>
        <v>123.39335000000003</v>
      </c>
      <c r="E48" s="22"/>
      <c r="F48" s="22"/>
    </row>
    <row r="49" spans="1:6">
      <c r="A49" s="23"/>
      <c r="B49" s="24"/>
      <c r="C49" s="250"/>
      <c r="D49" s="250"/>
      <c r="E49" s="26"/>
      <c r="F49" s="92"/>
    </row>
    <row r="50" spans="1:6" ht="50.25" customHeight="1">
      <c r="A50" s="28" t="s">
        <v>1</v>
      </c>
      <c r="B50" s="28" t="s">
        <v>29</v>
      </c>
      <c r="C50" s="243" t="s">
        <v>412</v>
      </c>
      <c r="D50" s="244" t="s">
        <v>418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09">
        <f>C54+C57+C58+C59</f>
        <v>1083.4159999999999</v>
      </c>
      <c r="D52" s="429">
        <f>D54+D57+D58+D59</f>
        <v>97.858270000000005</v>
      </c>
      <c r="E52" s="34">
        <f>SUM(D52/C52*100)</f>
        <v>9.0323818367090762</v>
      </c>
      <c r="F52" s="34">
        <f>SUM(D52-C52)</f>
        <v>-985.55772999999999</v>
      </c>
    </row>
    <row r="53" spans="1:6" s="6" customFormat="1" ht="31.5" hidden="1">
      <c r="A53" s="35" t="s">
        <v>32</v>
      </c>
      <c r="B53" s="36" t="s">
        <v>33</v>
      </c>
      <c r="C53" s="410"/>
      <c r="D53" s="430"/>
      <c r="E53" s="38"/>
      <c r="F53" s="38"/>
    </row>
    <row r="54" spans="1:6" ht="16.5" customHeight="1">
      <c r="A54" s="35" t="s">
        <v>34</v>
      </c>
      <c r="B54" s="39" t="s">
        <v>35</v>
      </c>
      <c r="C54" s="410">
        <v>1076.0999999999999</v>
      </c>
      <c r="D54" s="430">
        <v>95.542770000000004</v>
      </c>
      <c r="E54" s="38">
        <f>SUM(D54/C54*100)</f>
        <v>8.8786144410370795</v>
      </c>
      <c r="F54" s="38">
        <f t="shared" ref="F54:F94" si="3">SUM(D54-C54)</f>
        <v>-980.55722999999989</v>
      </c>
    </row>
    <row r="55" spans="1:6" ht="0.75" hidden="1" customHeight="1">
      <c r="A55" s="35" t="s">
        <v>36</v>
      </c>
      <c r="B55" s="39" t="s">
        <v>37</v>
      </c>
      <c r="C55" s="410"/>
      <c r="D55" s="430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10"/>
      <c r="D56" s="430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410">
        <v>0</v>
      </c>
      <c r="D57" s="430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11">
        <v>5</v>
      </c>
      <c r="D58" s="431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410">
        <v>2.3159999999999998</v>
      </c>
      <c r="D59" s="430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46</v>
      </c>
      <c r="B60" s="42" t="s">
        <v>47</v>
      </c>
      <c r="C60" s="409">
        <f>C61</f>
        <v>89.944999999999993</v>
      </c>
      <c r="D60" s="429">
        <f>D61</f>
        <v>9.3450000000000006</v>
      </c>
      <c r="E60" s="34">
        <f t="shared" si="4"/>
        <v>10.389682583801212</v>
      </c>
      <c r="F60" s="34">
        <f t="shared" si="3"/>
        <v>-80.599999999999994</v>
      </c>
    </row>
    <row r="61" spans="1:6">
      <c r="A61" s="43" t="s">
        <v>48</v>
      </c>
      <c r="B61" s="44" t="s">
        <v>49</v>
      </c>
      <c r="C61" s="410">
        <v>89.944999999999993</v>
      </c>
      <c r="D61" s="430">
        <v>9.3450000000000006</v>
      </c>
      <c r="E61" s="38">
        <f t="shared" si="4"/>
        <v>10.389682583801212</v>
      </c>
      <c r="F61" s="38">
        <f t="shared" si="3"/>
        <v>-80.599999999999994</v>
      </c>
    </row>
    <row r="62" spans="1:6" s="6" customFormat="1" ht="16.5" customHeight="1">
      <c r="A62" s="30" t="s">
        <v>50</v>
      </c>
      <c r="B62" s="31" t="s">
        <v>51</v>
      </c>
      <c r="C62" s="409">
        <f>C65+C66+C67</f>
        <v>14</v>
      </c>
      <c r="D62" s="429">
        <f>D65+D66</f>
        <v>0</v>
      </c>
      <c r="E62" s="34">
        <f t="shared" si="4"/>
        <v>0</v>
      </c>
      <c r="F62" s="34">
        <f t="shared" si="3"/>
        <v>-14</v>
      </c>
    </row>
    <row r="63" spans="1:6" ht="13.5" hidden="1" customHeight="1">
      <c r="A63" s="35" t="s">
        <v>52</v>
      </c>
      <c r="B63" s="39" t="s">
        <v>53</v>
      </c>
      <c r="C63" s="410"/>
      <c r="D63" s="430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10"/>
      <c r="D64" s="430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10">
        <v>2</v>
      </c>
      <c r="D65" s="430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219</v>
      </c>
      <c r="B66" s="47" t="s">
        <v>220</v>
      </c>
      <c r="C66" s="410">
        <v>10</v>
      </c>
      <c r="D66" s="430">
        <v>0</v>
      </c>
      <c r="E66" s="38">
        <f t="shared" si="4"/>
        <v>0</v>
      </c>
      <c r="F66" s="38">
        <f t="shared" si="3"/>
        <v>-10</v>
      </c>
    </row>
    <row r="67" spans="1:7" ht="15.75" customHeight="1">
      <c r="A67" s="46" t="s">
        <v>358</v>
      </c>
      <c r="B67" s="47" t="s">
        <v>437</v>
      </c>
      <c r="C67" s="410">
        <v>2</v>
      </c>
      <c r="D67" s="430"/>
      <c r="E67" s="38"/>
      <c r="F67" s="38"/>
    </row>
    <row r="68" spans="1:7" s="6" customFormat="1">
      <c r="A68" s="30" t="s">
        <v>58</v>
      </c>
      <c r="B68" s="31" t="s">
        <v>59</v>
      </c>
      <c r="C68" s="224">
        <f>C71+C72+C69+C70</f>
        <v>1072.23696</v>
      </c>
      <c r="D68" s="432">
        <f>D71+D72+D69+D70</f>
        <v>0</v>
      </c>
      <c r="E68" s="34">
        <f t="shared" si="4"/>
        <v>0</v>
      </c>
      <c r="F68" s="34">
        <f t="shared" si="3"/>
        <v>-1072.23696</v>
      </c>
    </row>
    <row r="69" spans="1:7" ht="16.5" customHeight="1">
      <c r="A69" s="35" t="s">
        <v>60</v>
      </c>
      <c r="B69" s="39" t="s">
        <v>61</v>
      </c>
      <c r="C69" s="412">
        <v>4.0214999999999996</v>
      </c>
      <c r="D69" s="430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62</v>
      </c>
      <c r="B70" s="39" t="s">
        <v>63</v>
      </c>
      <c r="C70" s="412">
        <v>0</v>
      </c>
      <c r="D70" s="430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64</v>
      </c>
      <c r="B71" s="39" t="s">
        <v>65</v>
      </c>
      <c r="C71" s="414">
        <v>1068.2154599999999</v>
      </c>
      <c r="D71" s="430">
        <v>0</v>
      </c>
      <c r="E71" s="38">
        <f t="shared" si="4"/>
        <v>0</v>
      </c>
      <c r="F71" s="38">
        <f t="shared" si="3"/>
        <v>-1068.2154599999999</v>
      </c>
    </row>
    <row r="72" spans="1:7">
      <c r="A72" s="35" t="s">
        <v>66</v>
      </c>
      <c r="B72" s="39" t="s">
        <v>67</v>
      </c>
      <c r="C72" s="412"/>
      <c r="D72" s="430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68</v>
      </c>
      <c r="B73" s="31" t="s">
        <v>69</v>
      </c>
      <c r="C73" s="409">
        <f>C76</f>
        <v>274.04849999999999</v>
      </c>
      <c r="D73" s="429">
        <f>D76</f>
        <v>16.596250000000001</v>
      </c>
      <c r="E73" s="34">
        <f t="shared" si="4"/>
        <v>6.0559535994541118</v>
      </c>
      <c r="F73" s="34">
        <f t="shared" si="3"/>
        <v>-257.45224999999999</v>
      </c>
    </row>
    <row r="74" spans="1:7" ht="0.75" hidden="1" customHeight="1">
      <c r="A74" s="35" t="s">
        <v>70</v>
      </c>
      <c r="B74" s="51" t="s">
        <v>71</v>
      </c>
      <c r="C74" s="410"/>
      <c r="D74" s="430"/>
      <c r="E74" s="38" t="e">
        <f t="shared" si="4"/>
        <v>#DIV/0!</v>
      </c>
      <c r="F74" s="38">
        <f t="shared" si="3"/>
        <v>0</v>
      </c>
    </row>
    <row r="75" spans="1:7" hidden="1">
      <c r="A75" s="35" t="s">
        <v>72</v>
      </c>
      <c r="B75" s="51" t="s">
        <v>73</v>
      </c>
      <c r="C75" s="410"/>
      <c r="D75" s="430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74</v>
      </c>
      <c r="B76" s="39" t="s">
        <v>75</v>
      </c>
      <c r="C76" s="410">
        <v>274.04849999999999</v>
      </c>
      <c r="D76" s="430">
        <v>16.596250000000001</v>
      </c>
      <c r="E76" s="38">
        <f t="shared" si="4"/>
        <v>6.0559535994541118</v>
      </c>
      <c r="F76" s="38">
        <f t="shared" si="3"/>
        <v>-257.45224999999999</v>
      </c>
    </row>
    <row r="77" spans="1:7" s="6" customFormat="1">
      <c r="A77" s="30" t="s">
        <v>86</v>
      </c>
      <c r="B77" s="31" t="s">
        <v>87</v>
      </c>
      <c r="C77" s="409">
        <f>C78</f>
        <v>276.10000000000002</v>
      </c>
      <c r="D77" s="429">
        <v>46</v>
      </c>
      <c r="E77" s="34">
        <f t="shared" si="4"/>
        <v>16.660630206446939</v>
      </c>
      <c r="F77" s="34">
        <f t="shared" si="3"/>
        <v>-230.10000000000002</v>
      </c>
    </row>
    <row r="78" spans="1:7" ht="14.25" customHeight="1">
      <c r="A78" s="35" t="s">
        <v>88</v>
      </c>
      <c r="B78" s="39" t="s">
        <v>234</v>
      </c>
      <c r="C78" s="410">
        <v>276.10000000000002</v>
      </c>
      <c r="D78" s="430">
        <v>46</v>
      </c>
      <c r="E78" s="38">
        <f t="shared" si="4"/>
        <v>16.660630206446939</v>
      </c>
      <c r="F78" s="38">
        <f t="shared" si="3"/>
        <v>-230.10000000000002</v>
      </c>
    </row>
    <row r="79" spans="1:7" s="6" customFormat="1" ht="0.75" hidden="1" customHeight="1">
      <c r="A79" s="52">
        <v>1000</v>
      </c>
      <c r="B79" s="31" t="s">
        <v>89</v>
      </c>
      <c r="C79" s="32"/>
      <c r="D79" s="3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90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91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92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7" ht="0.75" hidden="1" customHeight="1">
      <c r="A83" s="35" t="s">
        <v>93</v>
      </c>
      <c r="B83" s="39" t="s">
        <v>94</v>
      </c>
      <c r="C83" s="37"/>
      <c r="D83" s="37"/>
      <c r="E83" s="38"/>
      <c r="F83" s="38">
        <f t="shared" si="3"/>
        <v>0</v>
      </c>
    </row>
    <row r="84" spans="1:7" ht="12" customHeight="1">
      <c r="A84" s="30" t="s">
        <v>95</v>
      </c>
      <c r="B84" s="31" t="s">
        <v>96</v>
      </c>
      <c r="C84" s="32">
        <f>C85</f>
        <v>4</v>
      </c>
      <c r="D84" s="32">
        <v>0</v>
      </c>
      <c r="E84" s="38">
        <f t="shared" si="4"/>
        <v>0</v>
      </c>
      <c r="F84" s="22">
        <f>F85+F86+F87+F88+F89</f>
        <v>-4</v>
      </c>
    </row>
    <row r="85" spans="1:7" ht="11.25" customHeight="1">
      <c r="A85" s="35" t="s">
        <v>97</v>
      </c>
      <c r="B85" s="39" t="s">
        <v>98</v>
      </c>
      <c r="C85" s="37">
        <v>4</v>
      </c>
      <c r="D85" s="37">
        <v>0</v>
      </c>
      <c r="E85" s="38">
        <v>0</v>
      </c>
      <c r="F85" s="38">
        <f>SUM(D85-C85)</f>
        <v>-4</v>
      </c>
    </row>
    <row r="86" spans="1:7" ht="14.25" hidden="1" customHeight="1">
      <c r="A86" s="35" t="s">
        <v>99</v>
      </c>
      <c r="B86" s="39" t="s">
        <v>100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101</v>
      </c>
      <c r="B87" s="39" t="s">
        <v>102</v>
      </c>
      <c r="C87" s="37"/>
      <c r="D87" s="37"/>
      <c r="E87" s="38" t="e">
        <f t="shared" si="4"/>
        <v>#DIV/0!</v>
      </c>
      <c r="F87" s="38"/>
    </row>
    <row r="88" spans="1:7" ht="9.75" hidden="1" customHeight="1">
      <c r="A88" s="35" t="s">
        <v>103</v>
      </c>
      <c r="B88" s="39" t="s">
        <v>104</v>
      </c>
      <c r="C88" s="37"/>
      <c r="D88" s="37"/>
      <c r="E88" s="38" t="e">
        <f t="shared" si="4"/>
        <v>#DIV/0!</v>
      </c>
      <c r="F88" s="38"/>
    </row>
    <row r="89" spans="1:7" ht="11.25" hidden="1" customHeight="1">
      <c r="A89" s="35" t="s">
        <v>105</v>
      </c>
      <c r="B89" s="39" t="s">
        <v>106</v>
      </c>
      <c r="C89" s="37"/>
      <c r="D89" s="37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115</v>
      </c>
      <c r="C90" s="48"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116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117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118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119</v>
      </c>
      <c r="C94" s="413">
        <f>C52+C60+C62+C68+C73+C77+C84</f>
        <v>2813.7464599999998</v>
      </c>
      <c r="D94" s="389">
        <f>D52+D60+D62+D68+D73+D77+D79+D84+D90</f>
        <v>169.79952</v>
      </c>
      <c r="E94" s="128">
        <f t="shared" si="4"/>
        <v>6.0346417992472574</v>
      </c>
      <c r="F94" s="34">
        <f t="shared" si="3"/>
        <v>-2643.9469399999998</v>
      </c>
      <c r="G94" s="293">
        <f>C94-2813.74646</f>
        <v>0</v>
      </c>
    </row>
    <row r="95" spans="1:7">
      <c r="C95" s="126"/>
      <c r="D95" s="101"/>
    </row>
    <row r="96" spans="1:7" s="65" customFormat="1" ht="16.5" customHeight="1">
      <c r="A96" s="63" t="s">
        <v>120</v>
      </c>
      <c r="B96" s="63"/>
      <c r="C96" s="249"/>
      <c r="D96" s="249"/>
    </row>
    <row r="97" spans="1:3" s="65" customFormat="1" ht="20.25" customHeight="1">
      <c r="A97" s="66" t="s">
        <v>121</v>
      </c>
      <c r="B97" s="66"/>
      <c r="C97" s="65" t="s">
        <v>122</v>
      </c>
    </row>
    <row r="98" spans="1:3" ht="13.5" customHeight="1"/>
    <row r="100" spans="1:3" ht="5.25" customHeight="1"/>
    <row r="142" hidden="1"/>
  </sheetData>
  <customSheetViews>
    <customSheetView guid="{37D0E254-14A1-48DF-98B1-097427A51078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 topLeftCell="A39">
      <selection activeCell="C69" sqref="C69"/>
      <pageMargins left="0.75" right="0.75" top="0.18" bottom="0.17" header="0.5" footer="0.25"/>
      <pageSetup paperSize="9" scale="63" orientation="portrait" r:id="rId2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5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6"/>
      <headerFooter alignWithMargins="0"/>
    </customSheetView>
    <customSheetView guid="{61528DAC-5C4C-48F4-ADE2-8A724B05A086}" scale="70" showPageBreaks="1" printArea="1" hiddenRows="1" view="pageBreakPreview" topLeftCell="A10">
      <selection activeCell="C47" sqref="C47"/>
      <pageMargins left="0.74803149606299213" right="0.74803149606299213" top="0.19685039370078741" bottom="0.15748031496062992" header="0.51181102362204722" footer="0.23622047244094491"/>
      <pageSetup paperSize="9" scale="60" orientation="portrait" r:id="rId7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8"/>
      <headerFooter alignWithMargins="0"/>
    </customSheetView>
    <customSheetView guid="{B30CE22D-C12F-4E12-8BB9-3AAE0A6991CC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2"/>
  <sheetViews>
    <sheetView view="pageBreakPreview" zoomScale="70" zoomScaleNormal="100" zoomScaleSheetLayoutView="70" workbookViewId="0">
      <selection activeCell="C3" sqref="C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0" t="s">
        <v>423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135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3">
        <f>C5+C12+C14+C17+C7</f>
        <v>3515.44</v>
      </c>
      <c r="D4" s="383">
        <f>D5+D12+D14+D17+D7</f>
        <v>291.39832000000001</v>
      </c>
      <c r="E4" s="5">
        <f>SUM(D4/C4*100)</f>
        <v>8.2890995152811602</v>
      </c>
      <c r="F4" s="5">
        <f>SUM(D4-C4)</f>
        <v>-3224.0416800000003</v>
      </c>
    </row>
    <row r="5" spans="1:6" s="6" customFormat="1">
      <c r="A5" s="68">
        <v>1010000000</v>
      </c>
      <c r="B5" s="67" t="s">
        <v>6</v>
      </c>
      <c r="C5" s="383">
        <f>C6</f>
        <v>443.71499999999997</v>
      </c>
      <c r="D5" s="383">
        <f>D6</f>
        <v>58.231430000000003</v>
      </c>
      <c r="E5" s="5">
        <f t="shared" ref="E5:E52" si="0">SUM(D5/C5*100)</f>
        <v>13.123610876350813</v>
      </c>
      <c r="F5" s="5">
        <f t="shared" ref="F5:F52" si="1">SUM(D5-C5)</f>
        <v>-385.48356999999999</v>
      </c>
    </row>
    <row r="6" spans="1:6">
      <c r="A6" s="7">
        <v>1010200001</v>
      </c>
      <c r="B6" s="8" t="s">
        <v>229</v>
      </c>
      <c r="C6" s="415">
        <v>443.71499999999997</v>
      </c>
      <c r="D6" s="416">
        <v>58.231430000000003</v>
      </c>
      <c r="E6" s="9">
        <f t="shared" ref="E6:E11" si="2">SUM(D6/C6*100)</f>
        <v>13.123610876350813</v>
      </c>
      <c r="F6" s="9">
        <f t="shared" si="1"/>
        <v>-385.48356999999999</v>
      </c>
    </row>
    <row r="7" spans="1:6" ht="31.5">
      <c r="A7" s="3">
        <v>1030000000</v>
      </c>
      <c r="B7" s="13" t="s">
        <v>281</v>
      </c>
      <c r="C7" s="383">
        <f>C8+C10+C9</f>
        <v>635.72500000000002</v>
      </c>
      <c r="D7" s="383">
        <f>D8+D10+D9+D11</f>
        <v>129.50597000000002</v>
      </c>
      <c r="E7" s="5">
        <f t="shared" si="2"/>
        <v>20.371382280073931</v>
      </c>
      <c r="F7" s="5">
        <f t="shared" si="1"/>
        <v>-506.21902999999998</v>
      </c>
    </row>
    <row r="8" spans="1:6">
      <c r="A8" s="7">
        <v>1030223001</v>
      </c>
      <c r="B8" s="8" t="s">
        <v>283</v>
      </c>
      <c r="C8" s="415">
        <v>237.12</v>
      </c>
      <c r="D8" s="416">
        <v>57.361170000000001</v>
      </c>
      <c r="E8" s="9">
        <f t="shared" si="2"/>
        <v>24.190776821862347</v>
      </c>
      <c r="F8" s="9">
        <f t="shared" si="1"/>
        <v>-179.75882999999999</v>
      </c>
    </row>
    <row r="9" spans="1:6">
      <c r="A9" s="7">
        <v>1030224001</v>
      </c>
      <c r="B9" s="8" t="s">
        <v>289</v>
      </c>
      <c r="C9" s="415">
        <v>2.5049999999999999</v>
      </c>
      <c r="D9" s="416">
        <v>0.38921</v>
      </c>
      <c r="E9" s="9">
        <f t="shared" si="2"/>
        <v>15.537325349301398</v>
      </c>
      <c r="F9" s="9">
        <f t="shared" si="1"/>
        <v>-2.1157900000000001</v>
      </c>
    </row>
    <row r="10" spans="1:6">
      <c r="A10" s="7">
        <v>1030225001</v>
      </c>
      <c r="B10" s="8" t="s">
        <v>282</v>
      </c>
      <c r="C10" s="415">
        <v>396.1</v>
      </c>
      <c r="D10" s="416">
        <v>84.252160000000003</v>
      </c>
      <c r="E10" s="9">
        <f t="shared" si="2"/>
        <v>21.270426659934362</v>
      </c>
      <c r="F10" s="9">
        <f t="shared" si="1"/>
        <v>-311.84784000000002</v>
      </c>
    </row>
    <row r="11" spans="1:6">
      <c r="A11" s="7">
        <v>1030226001</v>
      </c>
      <c r="B11" s="8" t="s">
        <v>291</v>
      </c>
      <c r="C11" s="415">
        <v>0</v>
      </c>
      <c r="D11" s="416">
        <v>-12.49657</v>
      </c>
      <c r="E11" s="9" t="e">
        <f t="shared" si="2"/>
        <v>#DIV/0!</v>
      </c>
      <c r="F11" s="9">
        <f t="shared" si="1"/>
        <v>-12.49657</v>
      </c>
    </row>
    <row r="12" spans="1:6" s="6" customFormat="1">
      <c r="A12" s="68">
        <v>1050000000</v>
      </c>
      <c r="B12" s="67" t="s">
        <v>7</v>
      </c>
      <c r="C12" s="383">
        <f>SUM(C13:C13)</f>
        <v>40</v>
      </c>
      <c r="D12" s="383">
        <f>SUM(D13:D13)</f>
        <v>3.0156800000000001</v>
      </c>
      <c r="E12" s="5">
        <f t="shared" si="0"/>
        <v>7.5392000000000001</v>
      </c>
      <c r="F12" s="5">
        <f t="shared" si="1"/>
        <v>-36.984319999999997</v>
      </c>
    </row>
    <row r="13" spans="1:6" ht="15.75" customHeight="1">
      <c r="A13" s="7">
        <v>1050300000</v>
      </c>
      <c r="B13" s="11" t="s">
        <v>230</v>
      </c>
      <c r="C13" s="417">
        <v>40</v>
      </c>
      <c r="D13" s="416">
        <v>3.0156800000000001</v>
      </c>
      <c r="E13" s="9">
        <f t="shared" si="0"/>
        <v>7.5392000000000001</v>
      </c>
      <c r="F13" s="9">
        <f t="shared" si="1"/>
        <v>-36.984319999999997</v>
      </c>
    </row>
    <row r="14" spans="1:6" s="6" customFormat="1" ht="15.75" customHeight="1">
      <c r="A14" s="68">
        <v>1060000000</v>
      </c>
      <c r="B14" s="67" t="s">
        <v>136</v>
      </c>
      <c r="C14" s="383">
        <f>C15+C16</f>
        <v>2383</v>
      </c>
      <c r="D14" s="383">
        <f>D15+D16</f>
        <v>99.955239999999989</v>
      </c>
      <c r="E14" s="5">
        <f t="shared" si="0"/>
        <v>4.1945127989928661</v>
      </c>
      <c r="F14" s="5">
        <f t="shared" si="1"/>
        <v>-2283.0447600000002</v>
      </c>
    </row>
    <row r="15" spans="1:6" s="6" customFormat="1" ht="15.75" customHeight="1">
      <c r="A15" s="7">
        <v>1060100000</v>
      </c>
      <c r="B15" s="11" t="s">
        <v>9</v>
      </c>
      <c r="C15" s="415">
        <v>1098</v>
      </c>
      <c r="D15" s="416">
        <v>4.96014</v>
      </c>
      <c r="E15" s="5">
        <f t="shared" si="0"/>
        <v>0.45174316939890707</v>
      </c>
      <c r="F15" s="9">
        <f>SUM(D15-C15)</f>
        <v>-1093.0398600000001</v>
      </c>
    </row>
    <row r="16" spans="1:6" ht="15" customHeight="1">
      <c r="A16" s="7">
        <v>1060600000</v>
      </c>
      <c r="B16" s="11" t="s">
        <v>8</v>
      </c>
      <c r="C16" s="415">
        <v>1285</v>
      </c>
      <c r="D16" s="416">
        <v>94.995099999999994</v>
      </c>
      <c r="E16" s="5">
        <f t="shared" si="0"/>
        <v>7.3926147859922171</v>
      </c>
      <c r="F16" s="9">
        <f t="shared" si="1"/>
        <v>-1190.0048999999999</v>
      </c>
    </row>
    <row r="17" spans="1:6" s="6" customFormat="1" ht="18" customHeight="1">
      <c r="A17" s="3">
        <v>1080000000</v>
      </c>
      <c r="B17" s="4" t="s">
        <v>11</v>
      </c>
      <c r="C17" s="383">
        <f>C18</f>
        <v>13</v>
      </c>
      <c r="D17" s="383">
        <f>D18</f>
        <v>0.69</v>
      </c>
      <c r="E17" s="5">
        <f t="shared" si="0"/>
        <v>5.3076923076923066</v>
      </c>
      <c r="F17" s="5">
        <f t="shared" si="1"/>
        <v>-12.31</v>
      </c>
    </row>
    <row r="18" spans="1:6" ht="18" customHeight="1">
      <c r="A18" s="7">
        <v>1080400001</v>
      </c>
      <c r="B18" s="8" t="s">
        <v>228</v>
      </c>
      <c r="C18" s="415">
        <v>13</v>
      </c>
      <c r="D18" s="416">
        <v>0.69</v>
      </c>
      <c r="E18" s="9">
        <f t="shared" si="0"/>
        <v>5.3076923076923066</v>
      </c>
      <c r="F18" s="9">
        <f t="shared" si="1"/>
        <v>-12.31</v>
      </c>
    </row>
    <row r="19" spans="1:6" ht="0.75" hidden="1" customHeight="1">
      <c r="A19" s="7">
        <v>1080714001</v>
      </c>
      <c r="B19" s="8" t="s">
        <v>12</v>
      </c>
      <c r="C19" s="415"/>
      <c r="D19" s="416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383">
        <f>C21+C22+C23+C24</f>
        <v>0</v>
      </c>
      <c r="D20" s="383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383"/>
      <c r="D21" s="418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383"/>
      <c r="D22" s="418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383"/>
      <c r="D23" s="418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383"/>
      <c r="D24" s="418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3">
        <f>C26+C30+C32+C37+C35</f>
        <v>220</v>
      </c>
      <c r="D25" s="383">
        <f>D26+D30+D32+D35+D37</f>
        <v>36.978000000000002</v>
      </c>
      <c r="E25" s="5">
        <f t="shared" si="0"/>
        <v>16.808181818181819</v>
      </c>
      <c r="F25" s="5">
        <f t="shared" si="1"/>
        <v>-183.02199999999999</v>
      </c>
    </row>
    <row r="26" spans="1:6" s="6" customFormat="1" ht="30.75" customHeight="1">
      <c r="A26" s="68">
        <v>1110000000</v>
      </c>
      <c r="B26" s="69" t="s">
        <v>129</v>
      </c>
      <c r="C26" s="383">
        <f>C28+C29</f>
        <v>220</v>
      </c>
      <c r="D26" s="383">
        <f>D28+D29</f>
        <v>35.673999999999999</v>
      </c>
      <c r="E26" s="5">
        <f t="shared" si="0"/>
        <v>16.215454545454545</v>
      </c>
      <c r="F26" s="5">
        <f t="shared" si="1"/>
        <v>-184.32599999999999</v>
      </c>
    </row>
    <row r="27" spans="1:6">
      <c r="A27" s="16">
        <v>1110502501</v>
      </c>
      <c r="B27" s="17" t="s">
        <v>226</v>
      </c>
      <c r="C27" s="417">
        <v>0</v>
      </c>
      <c r="D27" s="416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17">
        <v>200</v>
      </c>
      <c r="D28" s="416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225</v>
      </c>
      <c r="C29" s="417">
        <v>20</v>
      </c>
      <c r="D29" s="416">
        <v>35.673999999999999</v>
      </c>
      <c r="E29" s="9">
        <f>SUM(D29/C29*100)</f>
        <v>178.37</v>
      </c>
      <c r="F29" s="9">
        <f t="shared" si="1"/>
        <v>15.673999999999999</v>
      </c>
    </row>
    <row r="30" spans="1:6" s="15" customFormat="1" ht="35.25" customHeight="1">
      <c r="A30" s="68">
        <v>1130000000</v>
      </c>
      <c r="B30" s="69" t="s">
        <v>131</v>
      </c>
      <c r="C30" s="383">
        <f>C31</f>
        <v>0</v>
      </c>
      <c r="D30" s="383">
        <f>D31</f>
        <v>1.304</v>
      </c>
      <c r="E30" s="5" t="e">
        <f t="shared" si="0"/>
        <v>#DIV/0!</v>
      </c>
      <c r="F30" s="5">
        <f t="shared" si="1"/>
        <v>1.304</v>
      </c>
    </row>
    <row r="31" spans="1:6" ht="18" customHeight="1">
      <c r="A31" s="7">
        <v>1130206005</v>
      </c>
      <c r="B31" s="8" t="s">
        <v>224</v>
      </c>
      <c r="C31" s="415">
        <v>0</v>
      </c>
      <c r="D31" s="416">
        <v>1.304</v>
      </c>
      <c r="E31" s="9" t="e">
        <f>SUM(D31/C31*100)</f>
        <v>#DIV/0!</v>
      </c>
      <c r="F31" s="9">
        <f t="shared" si="1"/>
        <v>1.304</v>
      </c>
    </row>
    <row r="32" spans="1:6" ht="17.25" customHeight="1">
      <c r="A32" s="70">
        <v>1140000000</v>
      </c>
      <c r="B32" s="71" t="s">
        <v>132</v>
      </c>
      <c r="C32" s="383">
        <f>C33+C34</f>
        <v>0</v>
      </c>
      <c r="D32" s="383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133</v>
      </c>
      <c r="C33" s="415">
        <v>0</v>
      </c>
      <c r="D33" s="416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223</v>
      </c>
      <c r="C34" s="415">
        <v>0</v>
      </c>
      <c r="D34" s="416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252</v>
      </c>
      <c r="C35" s="383">
        <f>C36</f>
        <v>0</v>
      </c>
      <c r="D35" s="418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268</v>
      </c>
      <c r="C36" s="415">
        <v>0</v>
      </c>
      <c r="D36" s="416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383">
        <f>C38+C39</f>
        <v>0</v>
      </c>
      <c r="D37" s="383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415">
        <v>0</v>
      </c>
      <c r="D38" s="415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15">
        <v>0</v>
      </c>
      <c r="D39" s="416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3735.44</v>
      </c>
      <c r="D40" s="127">
        <f>D4+D25</f>
        <v>328.37632000000002</v>
      </c>
      <c r="E40" s="5">
        <f t="shared" si="0"/>
        <v>8.7908337438159894</v>
      </c>
      <c r="F40" s="5">
        <f t="shared" si="1"/>
        <v>-3407.0636800000002</v>
      </c>
    </row>
    <row r="41" spans="1:7" s="6" customFormat="1" ht="20.25" customHeight="1">
      <c r="A41" s="3">
        <v>2000000000</v>
      </c>
      <c r="B41" s="4" t="s">
        <v>20</v>
      </c>
      <c r="C41" s="380">
        <f>C42+C43+C44+C46+C47+C45+C48</f>
        <v>7330.5724400000008</v>
      </c>
      <c r="D41" s="384">
        <f>D42+D43+D44+D46+D47+D45+D48</f>
        <v>859.05600000000004</v>
      </c>
      <c r="E41" s="5">
        <f t="shared" si="0"/>
        <v>11.718811962248338</v>
      </c>
      <c r="F41" s="5">
        <f t="shared" si="1"/>
        <v>-6471.5164400000012</v>
      </c>
      <c r="G41" s="19"/>
    </row>
    <row r="42" spans="1:7" ht="19.5" customHeight="1">
      <c r="A42" s="16">
        <v>2021000000</v>
      </c>
      <c r="B42" s="17" t="s">
        <v>21</v>
      </c>
      <c r="C42" s="381">
        <v>3003</v>
      </c>
      <c r="D42" s="382">
        <v>500.4</v>
      </c>
      <c r="E42" s="9">
        <f t="shared" si="0"/>
        <v>16.663336663336661</v>
      </c>
      <c r="F42" s="9">
        <f t="shared" si="1"/>
        <v>-2502.6</v>
      </c>
    </row>
    <row r="43" spans="1:7" ht="27.7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3815.5949500000002</v>
      </c>
      <c r="D44" s="10">
        <v>0</v>
      </c>
      <c r="E44" s="9">
        <f t="shared" si="0"/>
        <v>0</v>
      </c>
      <c r="F44" s="9">
        <f t="shared" si="1"/>
        <v>-3815.5949500000002</v>
      </c>
    </row>
    <row r="45" spans="1:7" hidden="1">
      <c r="A45" s="16">
        <v>2022999910</v>
      </c>
      <c r="B45" s="18" t="s">
        <v>350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183.01900000000001</v>
      </c>
      <c r="D46" s="251">
        <v>29.666</v>
      </c>
      <c r="E46" s="9">
        <f t="shared" si="0"/>
        <v>16.209246034564718</v>
      </c>
      <c r="F46" s="9">
        <f t="shared" si="1"/>
        <v>-153.35300000000001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351</v>
      </c>
      <c r="C48" s="12">
        <v>328.95848999999998</v>
      </c>
      <c r="D48" s="252">
        <v>328.99</v>
      </c>
      <c r="E48" s="9">
        <f t="shared" si="0"/>
        <v>100.00957871614744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25</v>
      </c>
      <c r="C49" s="12"/>
      <c r="D49" s="252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83">
        <f>SUM(C40,C41,C51)</f>
        <v>11066.01244</v>
      </c>
      <c r="D52" s="391">
        <f>D40+D41</f>
        <v>1187.4323200000001</v>
      </c>
      <c r="E52" s="5">
        <f t="shared" si="0"/>
        <v>10.730444470745597</v>
      </c>
      <c r="F52" s="5">
        <f t="shared" si="1"/>
        <v>-9878.5801200000005</v>
      </c>
      <c r="G52" s="94">
        <f>D52-1187.43232</f>
        <v>0</v>
      </c>
      <c r="H52" s="94"/>
    </row>
    <row r="53" spans="1:8" s="6" customFormat="1">
      <c r="A53" s="3"/>
      <c r="B53" s="21" t="s">
        <v>321</v>
      </c>
      <c r="C53" s="342">
        <f>C52-C101</f>
        <v>-782.54300000000148</v>
      </c>
      <c r="D53" s="342">
        <f>D52-D101</f>
        <v>543.6577400000001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412</v>
      </c>
      <c r="D55" s="147" t="s">
        <v>414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1757.5429999999999</v>
      </c>
      <c r="D57" s="102">
        <f>D58+D59+D60+D61+D62+D64+D63</f>
        <v>179.78972999999999</v>
      </c>
      <c r="E57" s="34">
        <f>SUM(D57/C57*100)</f>
        <v>10.229606331111102</v>
      </c>
      <c r="F57" s="34">
        <f>SUM(D57-C57)</f>
        <v>-1577.7532699999999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1746.6</v>
      </c>
      <c r="D59" s="92">
        <v>173.84723</v>
      </c>
      <c r="E59" s="38">
        <f t="shared" ref="E59:E101" si="3">SUM(D59/C59*100)</f>
        <v>9.9534655902897065</v>
      </c>
      <c r="F59" s="38">
        <f t="shared" ref="F59:F101" si="4">SUM(D59-C59)</f>
        <v>-1572.7527699999998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5.9429999999999996</v>
      </c>
      <c r="D64" s="92">
        <v>5.9424999999999999</v>
      </c>
      <c r="E64" s="38">
        <f t="shared" si="3"/>
        <v>99.991586740703355</v>
      </c>
      <c r="F64" s="38">
        <f t="shared" si="4"/>
        <v>-4.9999999999972289E-4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179.892</v>
      </c>
      <c r="D65" s="22">
        <f>D66</f>
        <v>18.536999999999999</v>
      </c>
      <c r="E65" s="34">
        <f t="shared" si="3"/>
        <v>10.304516042959108</v>
      </c>
      <c r="F65" s="34">
        <f t="shared" si="4"/>
        <v>-161.35499999999999</v>
      </c>
    </row>
    <row r="66" spans="1:7">
      <c r="A66" s="43" t="s">
        <v>48</v>
      </c>
      <c r="B66" s="44" t="s">
        <v>49</v>
      </c>
      <c r="C66" s="92">
        <v>179.892</v>
      </c>
      <c r="D66" s="92">
        <v>18.536999999999999</v>
      </c>
      <c r="E66" s="38">
        <f t="shared" si="3"/>
        <v>10.304516042959108</v>
      </c>
      <c r="F66" s="38">
        <f t="shared" si="4"/>
        <v>-161.35499999999999</v>
      </c>
    </row>
    <row r="67" spans="1:7" s="6" customFormat="1" ht="20.25" customHeight="1">
      <c r="A67" s="30" t="s">
        <v>50</v>
      </c>
      <c r="B67" s="31" t="s">
        <v>51</v>
      </c>
      <c r="C67" s="439">
        <f>C70+C72+C71</f>
        <v>6</v>
      </c>
      <c r="D67" s="439">
        <f>D70+D72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359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219</v>
      </c>
      <c r="B72" s="47" t="s">
        <v>220</v>
      </c>
      <c r="C72" s="92">
        <v>2</v>
      </c>
      <c r="D72" s="92">
        <v>0</v>
      </c>
      <c r="E72" s="38">
        <f t="shared" si="3"/>
        <v>0</v>
      </c>
      <c r="F72" s="38">
        <f t="shared" si="4"/>
        <v>-2</v>
      </c>
    </row>
    <row r="73" spans="1:7" s="6" customFormat="1" ht="17.25" customHeight="1">
      <c r="A73" s="490"/>
      <c r="B73" s="31" t="s">
        <v>59</v>
      </c>
      <c r="C73" s="440">
        <f>C75+C76+C77+C74</f>
        <v>3757.6294900000003</v>
      </c>
      <c r="D73" s="105">
        <f>SUM(D74:D77)</f>
        <v>27.551850000000002</v>
      </c>
      <c r="E73" s="34">
        <f t="shared" si="3"/>
        <v>0.73322423281279914</v>
      </c>
      <c r="F73" s="34">
        <f t="shared" si="4"/>
        <v>-3730.0776400000004</v>
      </c>
    </row>
    <row r="74" spans="1:7" ht="15.75" customHeight="1">
      <c r="A74" s="35" t="s">
        <v>60</v>
      </c>
      <c r="B74" s="39" t="s">
        <v>61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62</v>
      </c>
      <c r="B75" s="39" t="s">
        <v>63</v>
      </c>
      <c r="C75" s="106">
        <v>1000</v>
      </c>
      <c r="D75" s="92">
        <v>0</v>
      </c>
      <c r="E75" s="38">
        <f t="shared" si="3"/>
        <v>0</v>
      </c>
      <c r="F75" s="38">
        <f t="shared" si="4"/>
        <v>-1000</v>
      </c>
      <c r="G75" s="50"/>
    </row>
    <row r="76" spans="1:7">
      <c r="A76" s="35" t="s">
        <v>64</v>
      </c>
      <c r="B76" s="39" t="s">
        <v>65</v>
      </c>
      <c r="C76" s="106">
        <v>2749.5864900000001</v>
      </c>
      <c r="D76" s="92">
        <v>27.551850000000002</v>
      </c>
      <c r="E76" s="38">
        <f t="shared" si="3"/>
        <v>1.0020361279851939</v>
      </c>
      <c r="F76" s="38">
        <f t="shared" si="4"/>
        <v>-2722.0346400000003</v>
      </c>
    </row>
    <row r="77" spans="1:7">
      <c r="A77" s="35" t="s">
        <v>66</v>
      </c>
      <c r="B77" s="39" t="s">
        <v>67</v>
      </c>
      <c r="C77" s="106">
        <v>0</v>
      </c>
      <c r="D77" s="92">
        <v>0</v>
      </c>
      <c r="E77" s="38" t="e">
        <f t="shared" si="3"/>
        <v>#DIV/0!</v>
      </c>
      <c r="F77" s="38">
        <f t="shared" si="4"/>
        <v>0</v>
      </c>
    </row>
    <row r="78" spans="1:7" s="6" customFormat="1" ht="24" customHeight="1">
      <c r="A78" s="30" t="s">
        <v>68</v>
      </c>
      <c r="B78" s="31" t="s">
        <v>69</v>
      </c>
      <c r="C78" s="22">
        <f>SUM(C79:C82)</f>
        <v>3144.89095</v>
      </c>
      <c r="D78" s="22">
        <f>SUM(D79:D82)</f>
        <v>0</v>
      </c>
      <c r="E78" s="34">
        <f t="shared" si="3"/>
        <v>0</v>
      </c>
      <c r="F78" s="34">
        <f t="shared" si="4"/>
        <v>-3144.89095</v>
      </c>
    </row>
    <row r="79" spans="1:7" ht="2.25" hidden="1" customHeight="1">
      <c r="A79" s="35" t="s">
        <v>70</v>
      </c>
      <c r="B79" s="51" t="s">
        <v>71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72</v>
      </c>
      <c r="B80" s="51" t="s">
        <v>73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74</v>
      </c>
      <c r="B81" s="39" t="s">
        <v>75</v>
      </c>
      <c r="C81" s="92">
        <v>3144.89095</v>
      </c>
      <c r="D81" s="92">
        <v>0</v>
      </c>
      <c r="E81" s="38">
        <f t="shared" si="3"/>
        <v>0</v>
      </c>
      <c r="F81" s="38">
        <f t="shared" si="4"/>
        <v>-3144.89095</v>
      </c>
    </row>
    <row r="82" spans="1:6" ht="18" hidden="1" customHeight="1">
      <c r="A82" s="35" t="s">
        <v>264</v>
      </c>
      <c r="B82" s="39" t="s">
        <v>265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86</v>
      </c>
      <c r="B83" s="31" t="s">
        <v>87</v>
      </c>
      <c r="C83" s="22">
        <f>C84+C85</f>
        <v>2982.6</v>
      </c>
      <c r="D83" s="22">
        <f>D84+D85</f>
        <v>413.846</v>
      </c>
      <c r="E83" s="34">
        <f t="shared" si="3"/>
        <v>13.875343659894051</v>
      </c>
      <c r="F83" s="34">
        <f t="shared" si="4"/>
        <v>-2568.7539999999999</v>
      </c>
    </row>
    <row r="84" spans="1:6" ht="14.25" customHeight="1">
      <c r="A84" s="35" t="s">
        <v>88</v>
      </c>
      <c r="B84" s="39" t="s">
        <v>234</v>
      </c>
      <c r="C84" s="92">
        <v>2982.6</v>
      </c>
      <c r="D84" s="92">
        <v>413.846</v>
      </c>
      <c r="E84" s="38">
        <f t="shared" si="3"/>
        <v>13.875343659894051</v>
      </c>
      <c r="F84" s="38">
        <f t="shared" si="4"/>
        <v>-2568.7539999999999</v>
      </c>
    </row>
    <row r="85" spans="1:6" ht="14.25" hidden="1" customHeight="1">
      <c r="A85" s="35" t="s">
        <v>273</v>
      </c>
      <c r="B85" s="39" t="s">
        <v>274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89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90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91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92</v>
      </c>
      <c r="C89" s="92"/>
      <c r="D89" s="276"/>
      <c r="E89" s="34" t="e">
        <f t="shared" si="3"/>
        <v>#DIV/0!</v>
      </c>
      <c r="F89" s="38">
        <f t="shared" si="4"/>
        <v>0</v>
      </c>
    </row>
    <row r="90" spans="1:6">
      <c r="A90" s="35" t="s">
        <v>93</v>
      </c>
      <c r="B90" s="39" t="s">
        <v>94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22">
        <f>C92+C93+C94+C95+C96</f>
        <v>20</v>
      </c>
      <c r="D91" s="22">
        <f>D92+D93+D94+D95+D96</f>
        <v>4.05</v>
      </c>
      <c r="E91" s="34">
        <f t="shared" si="3"/>
        <v>20.25</v>
      </c>
      <c r="F91" s="22">
        <f>F92+F93+F94+F95+F96</f>
        <v>-15.95</v>
      </c>
    </row>
    <row r="92" spans="1:6" ht="15.75" customHeight="1">
      <c r="A92" s="35" t="s">
        <v>97</v>
      </c>
      <c r="B92" s="39" t="s">
        <v>98</v>
      </c>
      <c r="C92" s="92">
        <v>20</v>
      </c>
      <c r="D92" s="92">
        <v>4.05</v>
      </c>
      <c r="E92" s="38">
        <f t="shared" si="3"/>
        <v>20.25</v>
      </c>
      <c r="F92" s="38">
        <f>SUM(D92-C92)</f>
        <v>-15.95</v>
      </c>
    </row>
    <row r="93" spans="1:6" ht="15" hidden="1" customHeight="1">
      <c r="A93" s="35" t="s">
        <v>99</v>
      </c>
      <c r="B93" s="39" t="s">
        <v>100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240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115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116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117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118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119</v>
      </c>
      <c r="C101" s="392">
        <f>C57+C65+C67+C73+C78+C83+C91+C86+C97</f>
        <v>11848.555440000002</v>
      </c>
      <c r="D101" s="392">
        <f>D57+D65+D67+D73+D78+D83+D91+D86+D97</f>
        <v>643.77458000000001</v>
      </c>
      <c r="E101" s="34">
        <f t="shared" si="3"/>
        <v>5.4333592247596378</v>
      </c>
      <c r="F101" s="34">
        <f t="shared" si="4"/>
        <v>-11204.780860000003</v>
      </c>
      <c r="G101" s="94"/>
    </row>
    <row r="102" spans="1:7" ht="5.25" customHeight="1">
      <c r="D102" s="61"/>
    </row>
    <row r="103" spans="1:7" s="65" customFormat="1" ht="12.75">
      <c r="A103" s="63" t="s">
        <v>120</v>
      </c>
      <c r="B103" s="63"/>
      <c r="C103" s="133"/>
      <c r="D103" s="64"/>
    </row>
    <row r="104" spans="1:7" s="65" customFormat="1" ht="12.75">
      <c r="A104" s="66" t="s">
        <v>121</v>
      </c>
      <c r="B104" s="66"/>
      <c r="C104" s="133" t="s">
        <v>122</v>
      </c>
    </row>
    <row r="142" hidden="1"/>
  </sheetData>
  <customSheetViews>
    <customSheetView guid="{37D0E254-14A1-48DF-98B1-097427A51078}" scale="70" showPageBreaks="1" printArea="1" hiddenRows="1" view="pageBreakPreview">
      <selection activeCell="C3" sqref="C3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3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4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5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6"/>
      <headerFooter alignWithMargins="0"/>
    </customSheetView>
    <customSheetView guid="{61528DAC-5C4C-48F4-ADE2-8A724B05A086}" scale="70" showPageBreaks="1" printArea="1" hiddenRows="1" view="pageBreakPreview" topLeftCell="A37">
      <selection activeCell="D77" sqref="D77"/>
      <pageMargins left="0.74803149606299213" right="0.74803149606299213" top="0.98425196850393704" bottom="0.98425196850393704" header="0.51181102362204722" footer="0.51181102362204722"/>
      <pageSetup paperSize="9" scale="59" orientation="portrait" r:id="rId7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8"/>
      <headerFooter alignWithMargins="0"/>
    </customSheetView>
    <customSheetView guid="{B30CE22D-C12F-4E12-8BB9-3AAE0A6991CC}" scale="70" showPageBreaks="1" printArea="1" hiddenRows="1" view="pageBreakPreview">
      <selection activeCell="C3" sqref="C3"/>
      <pageMargins left="0.74803149606299213" right="0.74803149606299213" top="0.98425196850393704" bottom="0.98425196850393704" header="0.51181102362204722" footer="0.51181102362204722"/>
      <pageSetup paperSize="9" scale="59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43"/>
  <sheetViews>
    <sheetView view="pageBreakPreview" zoomScale="70" zoomScaleNormal="100" zoomScaleSheetLayoutView="70" workbookViewId="0">
      <selection activeCell="D15" sqref="D15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0" t="s">
        <v>424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1771.4749999999999</v>
      </c>
      <c r="D4" s="383">
        <f>D5+D12+D14+D17+D7</f>
        <v>158.73035000000002</v>
      </c>
      <c r="E4" s="5">
        <f>SUM(D4/C4*100)</f>
        <v>8.9603494263255214</v>
      </c>
      <c r="F4" s="5">
        <f>SUM(D4-C4)</f>
        <v>-1612.7446499999999</v>
      </c>
    </row>
    <row r="5" spans="1:6" s="6" customFormat="1">
      <c r="A5" s="68">
        <v>1010000000</v>
      </c>
      <c r="B5" s="67" t="s">
        <v>6</v>
      </c>
      <c r="C5" s="5">
        <f>C6</f>
        <v>100.23</v>
      </c>
      <c r="D5" s="383">
        <f>D6</f>
        <v>6.27928</v>
      </c>
      <c r="E5" s="5">
        <f t="shared" ref="E5:E52" si="0">SUM(D5/C5*100)</f>
        <v>6.2648707971665161</v>
      </c>
      <c r="F5" s="5">
        <f t="shared" ref="F5:F52" si="1">SUM(D5-C5)</f>
        <v>-93.950720000000004</v>
      </c>
    </row>
    <row r="6" spans="1:6">
      <c r="A6" s="7">
        <v>1010200001</v>
      </c>
      <c r="B6" s="8" t="s">
        <v>229</v>
      </c>
      <c r="C6" s="9">
        <v>100.23</v>
      </c>
      <c r="D6" s="416">
        <v>6.27928</v>
      </c>
      <c r="E6" s="9">
        <f t="shared" ref="E6:E11" si="2">SUM(D6/C6*100)</f>
        <v>6.2648707971665161</v>
      </c>
      <c r="F6" s="9">
        <f t="shared" si="1"/>
        <v>-93.950720000000004</v>
      </c>
    </row>
    <row r="7" spans="1:6" ht="31.5">
      <c r="A7" s="3">
        <v>1030000000</v>
      </c>
      <c r="B7" s="13" t="s">
        <v>281</v>
      </c>
      <c r="C7" s="342">
        <f>C8+C10+C9</f>
        <v>601.24499999999989</v>
      </c>
      <c r="D7" s="383">
        <f>D8+D10+D9+D11</f>
        <v>122.48191000000001</v>
      </c>
      <c r="E7" s="9">
        <f t="shared" si="2"/>
        <v>20.371381050985875</v>
      </c>
      <c r="F7" s="9">
        <f t="shared" si="1"/>
        <v>-478.76308999999986</v>
      </c>
    </row>
    <row r="8" spans="1:6">
      <c r="A8" s="7">
        <v>1030223001</v>
      </c>
      <c r="B8" s="8" t="s">
        <v>283</v>
      </c>
      <c r="C8" s="9">
        <v>224.26</v>
      </c>
      <c r="D8" s="416">
        <v>54.250079999999997</v>
      </c>
      <c r="E8" s="9">
        <f t="shared" si="2"/>
        <v>24.190707214839918</v>
      </c>
      <c r="F8" s="9">
        <f t="shared" si="1"/>
        <v>-170.00991999999999</v>
      </c>
    </row>
    <row r="9" spans="1:6">
      <c r="A9" s="7">
        <v>1030224001</v>
      </c>
      <c r="B9" s="8" t="s">
        <v>289</v>
      </c>
      <c r="C9" s="9">
        <v>2.4049999999999998</v>
      </c>
      <c r="D9" s="416">
        <v>0.36808999999999997</v>
      </c>
      <c r="E9" s="9">
        <f t="shared" si="2"/>
        <v>15.305197505197505</v>
      </c>
      <c r="F9" s="9">
        <f t="shared" si="1"/>
        <v>-2.0369099999999998</v>
      </c>
    </row>
    <row r="10" spans="1:6">
      <c r="A10" s="7">
        <v>1030225001</v>
      </c>
      <c r="B10" s="8" t="s">
        <v>282</v>
      </c>
      <c r="C10" s="9">
        <v>374.58</v>
      </c>
      <c r="D10" s="416">
        <v>79.682550000000006</v>
      </c>
      <c r="E10" s="9">
        <f t="shared" si="2"/>
        <v>21.272505205830534</v>
      </c>
      <c r="F10" s="9">
        <f t="shared" si="1"/>
        <v>-294.89744999999999</v>
      </c>
    </row>
    <row r="11" spans="1:6">
      <c r="A11" s="7">
        <v>1030226001</v>
      </c>
      <c r="B11" s="8" t="s">
        <v>291</v>
      </c>
      <c r="C11" s="9">
        <v>0</v>
      </c>
      <c r="D11" s="416">
        <v>-11.818809999999999</v>
      </c>
      <c r="E11" s="9" t="e">
        <f t="shared" si="2"/>
        <v>#DIV/0!</v>
      </c>
      <c r="F11" s="9">
        <f t="shared" si="1"/>
        <v>-11.818809999999999</v>
      </c>
    </row>
    <row r="12" spans="1:6" s="6" customFormat="1">
      <c r="A12" s="68">
        <v>1050000000</v>
      </c>
      <c r="B12" s="67" t="s">
        <v>7</v>
      </c>
      <c r="C12" s="5">
        <f>SUM(C13:C13)</f>
        <v>7</v>
      </c>
      <c r="D12" s="383">
        <f>SUM(D13:D13)</f>
        <v>0</v>
      </c>
      <c r="E12" s="5">
        <f t="shared" si="0"/>
        <v>0</v>
      </c>
      <c r="F12" s="5">
        <f t="shared" si="1"/>
        <v>-7</v>
      </c>
    </row>
    <row r="13" spans="1:6" ht="15.75" customHeight="1">
      <c r="A13" s="7">
        <v>1050300000</v>
      </c>
      <c r="B13" s="11" t="s">
        <v>230</v>
      </c>
      <c r="C13" s="12">
        <v>7</v>
      </c>
      <c r="D13" s="416">
        <v>0</v>
      </c>
      <c r="E13" s="9">
        <f t="shared" si="0"/>
        <v>0</v>
      </c>
      <c r="F13" s="9">
        <f t="shared" si="1"/>
        <v>-7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1058</v>
      </c>
      <c r="D14" s="383">
        <f>D15+D16</f>
        <v>29.969159999999999</v>
      </c>
      <c r="E14" s="5">
        <f t="shared" si="0"/>
        <v>2.8326238185255197</v>
      </c>
      <c r="F14" s="5">
        <f t="shared" si="1"/>
        <v>-1028.0308399999999</v>
      </c>
    </row>
    <row r="15" spans="1:6" s="6" customFormat="1" ht="15.75" customHeight="1">
      <c r="A15" s="7">
        <v>1060100000</v>
      </c>
      <c r="B15" s="11" t="s">
        <v>9</v>
      </c>
      <c r="C15" s="9">
        <v>248</v>
      </c>
      <c r="D15" s="416">
        <v>5.6575600000000001</v>
      </c>
      <c r="E15" s="9">
        <f t="shared" si="0"/>
        <v>2.2812741935483873</v>
      </c>
      <c r="F15" s="9">
        <f>SUM(D15-C15)</f>
        <v>-242.34244000000001</v>
      </c>
    </row>
    <row r="16" spans="1:6" ht="15.75" customHeight="1">
      <c r="A16" s="7">
        <v>1060600000</v>
      </c>
      <c r="B16" s="11" t="s">
        <v>8</v>
      </c>
      <c r="C16" s="9">
        <v>810</v>
      </c>
      <c r="D16" s="416">
        <v>24.311599999999999</v>
      </c>
      <c r="E16" s="9">
        <f t="shared" si="0"/>
        <v>3.0014320987654322</v>
      </c>
      <c r="F16" s="9">
        <f t="shared" si="1"/>
        <v>-785.6884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383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416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416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383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418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18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18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18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220</v>
      </c>
      <c r="D25" s="383">
        <f>D26+D30+D32+D37+D35</f>
        <v>8.1502999999999997</v>
      </c>
      <c r="E25" s="5">
        <f t="shared" si="0"/>
        <v>3.7046818181818182</v>
      </c>
      <c r="F25" s="5">
        <f t="shared" si="1"/>
        <v>-211.84970000000001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220</v>
      </c>
      <c r="D26" s="5">
        <f>D27+D28+D29</f>
        <v>8.1502999999999997</v>
      </c>
      <c r="E26" s="5">
        <f t="shared" si="0"/>
        <v>3.7046818181818182</v>
      </c>
      <c r="F26" s="5">
        <f t="shared" si="1"/>
        <v>-211.84970000000001</v>
      </c>
    </row>
    <row r="27" spans="1:6">
      <c r="A27" s="16">
        <v>1110501101</v>
      </c>
      <c r="B27" s="17" t="s">
        <v>226</v>
      </c>
      <c r="C27" s="12">
        <v>0</v>
      </c>
      <c r="D27" s="416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200</v>
      </c>
      <c r="D28" s="416">
        <v>3.05</v>
      </c>
      <c r="E28" s="9">
        <f t="shared" si="0"/>
        <v>1.5249999999999999</v>
      </c>
      <c r="F28" s="9">
        <f t="shared" si="1"/>
        <v>-196.95</v>
      </c>
    </row>
    <row r="29" spans="1:6" ht="18" customHeight="1">
      <c r="A29" s="7">
        <v>1110503505</v>
      </c>
      <c r="B29" s="11" t="s">
        <v>225</v>
      </c>
      <c r="C29" s="12">
        <v>20</v>
      </c>
      <c r="D29" s="416">
        <v>5.1002999999999998</v>
      </c>
      <c r="E29" s="9">
        <f t="shared" si="0"/>
        <v>25.5015</v>
      </c>
      <c r="F29" s="9">
        <f t="shared" si="1"/>
        <v>-14.899699999999999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383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416">
        <v>0</v>
      </c>
      <c r="E31" s="9" t="e">
        <f t="shared" si="0"/>
        <v>#DIV/0!</v>
      </c>
      <c r="F31" s="9">
        <f t="shared" si="1"/>
        <v>0</v>
      </c>
    </row>
    <row r="32" spans="1:6" ht="17.25" hidden="1" customHeight="1">
      <c r="A32" s="70">
        <v>1140000000</v>
      </c>
      <c r="B32" s="71" t="s">
        <v>132</v>
      </c>
      <c r="C32" s="5">
        <f>C34</f>
        <v>0</v>
      </c>
      <c r="D32" s="383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16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416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383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416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383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415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416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1991.4749999999999</v>
      </c>
      <c r="D40" s="425">
        <f>D4+D25</f>
        <v>166.88065</v>
      </c>
      <c r="E40" s="5">
        <f t="shared" si="0"/>
        <v>8.3797511894450096</v>
      </c>
      <c r="F40" s="5">
        <f t="shared" si="1"/>
        <v>-1824.5943499999998</v>
      </c>
    </row>
    <row r="41" spans="1:7" s="6" customFormat="1">
      <c r="A41" s="3">
        <v>2000000000</v>
      </c>
      <c r="B41" s="4" t="s">
        <v>20</v>
      </c>
      <c r="C41" s="383">
        <f>C42+C44+C46+C47+C48+C49+C43+C45+C51</f>
        <v>5081.6601400000009</v>
      </c>
      <c r="D41" s="383">
        <f>D42+D44+D46+D47+D48+D49+D43+D45+D51</f>
        <v>322.85000000000002</v>
      </c>
      <c r="E41" s="5">
        <f t="shared" si="0"/>
        <v>6.3532387272164161</v>
      </c>
      <c r="F41" s="5">
        <f t="shared" si="1"/>
        <v>-4758.8101400000005</v>
      </c>
      <c r="G41" s="19"/>
    </row>
    <row r="42" spans="1:7">
      <c r="A42" s="16">
        <v>2021000000</v>
      </c>
      <c r="B42" s="17" t="s">
        <v>21</v>
      </c>
      <c r="C42" s="420">
        <v>1759.1</v>
      </c>
      <c r="D42" s="426">
        <v>293.18400000000003</v>
      </c>
      <c r="E42" s="9">
        <f t="shared" si="0"/>
        <v>16.666704564834291</v>
      </c>
      <c r="F42" s="9">
        <f t="shared" si="1"/>
        <v>-1465.9159999999999</v>
      </c>
    </row>
    <row r="43" spans="1:7">
      <c r="A43" s="16">
        <v>2021500200</v>
      </c>
      <c r="B43" s="17" t="s">
        <v>232</v>
      </c>
      <c r="C43" s="417">
        <v>270</v>
      </c>
      <c r="D43" s="426">
        <v>0</v>
      </c>
      <c r="E43" s="9">
        <f t="shared" si="0"/>
        <v>0</v>
      </c>
      <c r="F43" s="9">
        <f t="shared" si="1"/>
        <v>-270</v>
      </c>
    </row>
    <row r="44" spans="1:7" ht="16.5" customHeight="1">
      <c r="A44" s="16">
        <v>2022000000</v>
      </c>
      <c r="B44" s="17" t="s">
        <v>22</v>
      </c>
      <c r="C44" s="417">
        <v>2558.4050000000002</v>
      </c>
      <c r="D44" s="416">
        <v>0</v>
      </c>
      <c r="E44" s="9">
        <f t="shared" si="0"/>
        <v>0</v>
      </c>
      <c r="F44" s="9">
        <f t="shared" si="1"/>
        <v>-2558.4050000000002</v>
      </c>
    </row>
    <row r="45" spans="1:7">
      <c r="A45" s="16">
        <v>2022999910</v>
      </c>
      <c r="B45" s="18" t="s">
        <v>350</v>
      </c>
      <c r="C45" s="417"/>
      <c r="D45" s="416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17">
        <v>181.08199999999999</v>
      </c>
      <c r="D46" s="427">
        <v>29.666</v>
      </c>
      <c r="E46" s="9">
        <f>SUM(D46/C46*100)</f>
        <v>16.382633282159464</v>
      </c>
      <c r="F46" s="9">
        <f>SUM(D46-C46)</f>
        <v>-151.416</v>
      </c>
    </row>
    <row r="47" spans="1:7">
      <c r="A47" s="16">
        <v>2024000000</v>
      </c>
      <c r="B47" s="17" t="s">
        <v>24</v>
      </c>
      <c r="C47" s="417">
        <v>41.375279999999997</v>
      </c>
      <c r="D47" s="428">
        <v>0</v>
      </c>
      <c r="E47" s="9">
        <f t="shared" si="0"/>
        <v>0</v>
      </c>
      <c r="F47" s="9">
        <f t="shared" si="1"/>
        <v>-41.375279999999997</v>
      </c>
    </row>
    <row r="48" spans="1:7" ht="47.25">
      <c r="A48" s="16">
        <v>2020900000</v>
      </c>
      <c r="B48" s="18" t="s">
        <v>25</v>
      </c>
      <c r="C48" s="417">
        <v>0</v>
      </c>
      <c r="D48" s="428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16">
        <v>0</v>
      </c>
      <c r="D49" s="416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27</v>
      </c>
      <c r="C50" s="421">
        <v>0</v>
      </c>
      <c r="D50" s="418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357</v>
      </c>
      <c r="C51" s="417">
        <v>271.69785999999999</v>
      </c>
      <c r="D51" s="416">
        <v>0</v>
      </c>
      <c r="E51" s="9">
        <f t="shared" si="0"/>
        <v>0</v>
      </c>
      <c r="F51" s="9">
        <f t="shared" si="1"/>
        <v>-271.69785999999999</v>
      </c>
    </row>
    <row r="52" spans="1:8" s="6" customFormat="1" ht="23.25" customHeight="1">
      <c r="A52" s="3"/>
      <c r="B52" s="4" t="s">
        <v>28</v>
      </c>
      <c r="C52" s="342">
        <f>C40+C41</f>
        <v>7073.1351400000003</v>
      </c>
      <c r="D52" s="422">
        <f>D40+D41</f>
        <v>489.73065000000003</v>
      </c>
      <c r="E52" s="5">
        <f t="shared" si="0"/>
        <v>6.9238129953219012</v>
      </c>
      <c r="F52" s="5">
        <f t="shared" si="1"/>
        <v>-6583.4044899999999</v>
      </c>
      <c r="G52" s="94"/>
      <c r="H52" s="94"/>
    </row>
    <row r="53" spans="1:8" s="6" customFormat="1">
      <c r="A53" s="3"/>
      <c r="B53" s="21" t="s">
        <v>321</v>
      </c>
      <c r="C53" s="342">
        <f>C52-C101</f>
        <v>-424.9325800000006</v>
      </c>
      <c r="D53" s="342">
        <f>D52-D101</f>
        <v>113.54057000000006</v>
      </c>
      <c r="E53" s="22"/>
      <c r="F53" s="22"/>
    </row>
    <row r="54" spans="1:8" ht="32.25" customHeight="1">
      <c r="A54" s="23"/>
      <c r="B54" s="24"/>
      <c r="C54" s="247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418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24">
        <f>C58+C59+C60+C61+C62+C64+C63</f>
        <v>1256.1510000000001</v>
      </c>
      <c r="D57" s="33">
        <f>D58+D59+D60+D61+D62+D64+D63</f>
        <v>105.50108</v>
      </c>
      <c r="E57" s="34">
        <f>SUM(D57/C57*100)</f>
        <v>8.3987577926539085</v>
      </c>
      <c r="F57" s="34">
        <f>SUM(D57-C57)</f>
        <v>-1150.6499200000001</v>
      </c>
    </row>
    <row r="58" spans="1:8" s="6" customFormat="1" ht="1.5" hidden="1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1247.4000000000001</v>
      </c>
      <c r="D59" s="37">
        <v>101.75008</v>
      </c>
      <c r="E59" s="38">
        <f t="shared" ref="E59:E101" si="3">SUM(D59/C59*100)</f>
        <v>8.1569729036395699</v>
      </c>
      <c r="F59" s="38">
        <f t="shared" ref="F59:F101" si="4">SUM(D59-C59)</f>
        <v>-1145.6499200000001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23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3.7509999999999999</v>
      </c>
      <c r="D64" s="37">
        <v>3.7509999999999999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46</v>
      </c>
      <c r="B65" s="42" t="s">
        <v>47</v>
      </c>
      <c r="C65" s="424">
        <f>C66</f>
        <v>179.892</v>
      </c>
      <c r="D65" s="32">
        <f>D66</f>
        <v>18.689</v>
      </c>
      <c r="E65" s="34">
        <f t="shared" si="3"/>
        <v>10.389011184488471</v>
      </c>
      <c r="F65" s="34">
        <f t="shared" si="4"/>
        <v>-161.203</v>
      </c>
    </row>
    <row r="66" spans="1:7" ht="15" customHeight="1">
      <c r="A66" s="43" t="s">
        <v>48</v>
      </c>
      <c r="B66" s="44" t="s">
        <v>49</v>
      </c>
      <c r="C66" s="136">
        <v>179.892</v>
      </c>
      <c r="D66" s="37">
        <v>18.689</v>
      </c>
      <c r="E66" s="38">
        <f t="shared" si="3"/>
        <v>10.389011184488471</v>
      </c>
      <c r="F66" s="38">
        <f t="shared" si="4"/>
        <v>-161.203</v>
      </c>
    </row>
    <row r="67" spans="1:7" s="6" customFormat="1" ht="18" customHeight="1">
      <c r="A67" s="30" t="s">
        <v>50</v>
      </c>
      <c r="B67" s="31" t="s">
        <v>51</v>
      </c>
      <c r="C67" s="424">
        <f>C70+C71+C72</f>
        <v>6</v>
      </c>
      <c r="D67" s="32">
        <f>D70+D71+D72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136">
        <v>2</v>
      </c>
      <c r="D71" s="37">
        <v>0</v>
      </c>
      <c r="E71" s="38">
        <f t="shared" si="3"/>
        <v>0</v>
      </c>
      <c r="F71" s="38">
        <f t="shared" si="4"/>
        <v>-2</v>
      </c>
    </row>
    <row r="72" spans="1:7" ht="17.25" customHeight="1">
      <c r="A72" s="46" t="s">
        <v>358</v>
      </c>
      <c r="B72" s="47" t="s">
        <v>409</v>
      </c>
      <c r="C72" s="136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58</v>
      </c>
      <c r="B73" s="31" t="s">
        <v>59</v>
      </c>
      <c r="C73" s="224">
        <f>C75+C76+C77+C74</f>
        <v>3927.35572</v>
      </c>
      <c r="D73" s="48">
        <f>SUM(D74:D77)</f>
        <v>0</v>
      </c>
      <c r="E73" s="34">
        <f t="shared" si="3"/>
        <v>0</v>
      </c>
      <c r="F73" s="34">
        <f t="shared" si="4"/>
        <v>-3927.35572</v>
      </c>
    </row>
    <row r="74" spans="1:7" ht="17.25" customHeight="1">
      <c r="A74" s="35" t="s">
        <v>60</v>
      </c>
      <c r="B74" s="39" t="s">
        <v>61</v>
      </c>
      <c r="C74" s="414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62</v>
      </c>
      <c r="B75" s="39" t="s">
        <v>63</v>
      </c>
      <c r="C75" s="414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 ht="16.5" customHeight="1">
      <c r="A76" s="35" t="s">
        <v>64</v>
      </c>
      <c r="B76" s="39" t="s">
        <v>65</v>
      </c>
      <c r="C76" s="414">
        <v>3844.67472</v>
      </c>
      <c r="D76" s="37">
        <v>0</v>
      </c>
      <c r="E76" s="38">
        <f t="shared" si="3"/>
        <v>0</v>
      </c>
      <c r="F76" s="38">
        <f t="shared" si="4"/>
        <v>-3844.67472</v>
      </c>
    </row>
    <row r="77" spans="1:7" ht="16.5" customHeight="1">
      <c r="A77" s="35" t="s">
        <v>66</v>
      </c>
      <c r="B77" s="39" t="s">
        <v>67</v>
      </c>
      <c r="C77" s="414">
        <v>80</v>
      </c>
      <c r="D77" s="37">
        <v>0</v>
      </c>
      <c r="E77" s="38">
        <f t="shared" si="3"/>
        <v>0</v>
      </c>
      <c r="F77" s="38">
        <f t="shared" si="4"/>
        <v>-80</v>
      </c>
    </row>
    <row r="78" spans="1:7" ht="15.75" hidden="1" customHeight="1">
      <c r="A78" s="30" t="s">
        <v>50</v>
      </c>
      <c r="B78" s="31" t="s">
        <v>51</v>
      </c>
      <c r="C78" s="224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14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24">
        <f>SUM(C81:C83)</f>
        <v>279.56900000000002</v>
      </c>
      <c r="D80" s="32">
        <f>SUM(D81:D83)</f>
        <v>0</v>
      </c>
      <c r="E80" s="34">
        <f t="shared" si="3"/>
        <v>0</v>
      </c>
      <c r="F80" s="34">
        <f t="shared" si="4"/>
        <v>-279.56900000000002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/>
      <c r="D82" s="37"/>
      <c r="E82" s="38" t="e">
        <f t="shared" si="3"/>
        <v>#DIV/0!</v>
      </c>
      <c r="F82" s="38">
        <f t="shared" si="4"/>
        <v>0</v>
      </c>
    </row>
    <row r="83" spans="1:6" ht="12.75" customHeight="1">
      <c r="A83" s="35" t="s">
        <v>74</v>
      </c>
      <c r="B83" s="39" t="s">
        <v>75</v>
      </c>
      <c r="C83" s="136">
        <v>279.56900000000002</v>
      </c>
      <c r="D83" s="37">
        <v>0</v>
      </c>
      <c r="E83" s="38">
        <f t="shared" si="3"/>
        <v>0</v>
      </c>
      <c r="F83" s="38">
        <f t="shared" si="4"/>
        <v>-279.56900000000002</v>
      </c>
    </row>
    <row r="84" spans="1:6" s="6" customFormat="1" ht="11.25" customHeight="1">
      <c r="A84" s="30" t="s">
        <v>86</v>
      </c>
      <c r="B84" s="31" t="s">
        <v>87</v>
      </c>
      <c r="C84" s="424">
        <f>C85</f>
        <v>1847.1</v>
      </c>
      <c r="D84" s="32">
        <f>SUM(D85)</f>
        <v>252</v>
      </c>
      <c r="E84" s="34">
        <f t="shared" si="3"/>
        <v>13.643007958421311</v>
      </c>
      <c r="F84" s="34">
        <f t="shared" si="4"/>
        <v>-1595.1</v>
      </c>
    </row>
    <row r="85" spans="1:6" ht="14.25" customHeight="1">
      <c r="A85" s="35" t="s">
        <v>88</v>
      </c>
      <c r="B85" s="39" t="s">
        <v>234</v>
      </c>
      <c r="C85" s="136">
        <v>1847.1</v>
      </c>
      <c r="D85" s="37">
        <v>252</v>
      </c>
      <c r="E85" s="38">
        <f t="shared" si="3"/>
        <v>13.643007958421311</v>
      </c>
      <c r="F85" s="38">
        <f t="shared" si="4"/>
        <v>-1595.1</v>
      </c>
    </row>
    <row r="86" spans="1:6" s="6" customFormat="1" ht="12" hidden="1" customHeight="1">
      <c r="A86" s="52">
        <v>1000</v>
      </c>
      <c r="B86" s="31" t="s">
        <v>89</v>
      </c>
      <c r="C86" s="424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24">
        <f>C92+C93+C94+C95+C96</f>
        <v>2</v>
      </c>
      <c r="D91" s="32">
        <f>D92+D93+D94+D95+D96</f>
        <v>0</v>
      </c>
      <c r="E91" s="38">
        <f t="shared" si="3"/>
        <v>0</v>
      </c>
      <c r="F91" s="22">
        <f>F92+F93+F94+F95+F96</f>
        <v>-2</v>
      </c>
    </row>
    <row r="92" spans="1:6" ht="19.5" customHeight="1">
      <c r="A92" s="35" t="s">
        <v>97</v>
      </c>
      <c r="B92" s="39" t="s">
        <v>98</v>
      </c>
      <c r="C92" s="136">
        <v>2</v>
      </c>
      <c r="D92" s="37">
        <v>0</v>
      </c>
      <c r="E92" s="38">
        <f t="shared" si="3"/>
        <v>0</v>
      </c>
      <c r="F92" s="38">
        <f>SUM(D92-C92)</f>
        <v>-2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40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4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117</v>
      </c>
      <c r="C99" s="414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118</v>
      </c>
      <c r="C100" s="414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392">
        <f>C57+C65+C67+C73+C80+C84+C86+C91+C78</f>
        <v>7498.0677200000009</v>
      </c>
      <c r="D101" s="392">
        <f>D57+D65+D67+D73+D80+D84+D91+D86</f>
        <v>376.19007999999997</v>
      </c>
      <c r="E101" s="34">
        <f t="shared" si="3"/>
        <v>5.01716034114453</v>
      </c>
      <c r="F101" s="34">
        <f t="shared" si="4"/>
        <v>-7121.8776400000006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  <row r="143" hidden="1"/>
  </sheetData>
  <customSheetViews>
    <customSheetView guid="{37D0E254-14A1-48DF-98B1-097427A51078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3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4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fitToPage="1" printArea="1" hiddenRows="1" view="pageBreakPreview" topLeftCell="A40">
      <selection activeCell="D101" sqref="D101"/>
      <pageMargins left="0.70866141732283472" right="0.70866141732283472" top="0.74803149606299213" bottom="0.74803149606299213" header="0.31496062992125984" footer="0.31496062992125984"/>
      <pageSetup paperSize="9" scale="58" orientation="portrait" r:id="rId7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8"/>
    </customSheetView>
    <customSheetView guid="{B30CE22D-C12F-4E12-8BB9-3AAE0A6991CC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Normal="100" zoomScaleSheetLayoutView="70" workbookViewId="0">
      <selection activeCell="D6" sqref="D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40" t="s">
        <v>425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0">
        <f>C5+C12+C14+C17+C20+C7</f>
        <v>4380.491</v>
      </c>
      <c r="D4" s="280">
        <f>D5+D12+D14+D17+D20+D7</f>
        <v>350.84838000000002</v>
      </c>
      <c r="E4" s="5">
        <f>SUM(D4/C4*100)</f>
        <v>8.0093391357270232</v>
      </c>
      <c r="F4" s="5">
        <f>SUM(D4-C4)</f>
        <v>-4029.6426200000001</v>
      </c>
    </row>
    <row r="5" spans="1:6" s="6" customFormat="1">
      <c r="A5" s="68">
        <v>1010000000</v>
      </c>
      <c r="B5" s="67" t="s">
        <v>6</v>
      </c>
      <c r="C5" s="280">
        <f>C6</f>
        <v>452.03100000000001</v>
      </c>
      <c r="D5" s="280">
        <f>D6</f>
        <v>56.014209999999999</v>
      </c>
      <c r="E5" s="5">
        <f t="shared" ref="E5:E50" si="0">SUM(D5/C5*100)</f>
        <v>12.391674464804405</v>
      </c>
      <c r="F5" s="5">
        <f t="shared" ref="F5:F50" si="1">SUM(D5-C5)</f>
        <v>-396.01679000000001</v>
      </c>
    </row>
    <row r="6" spans="1:6">
      <c r="A6" s="7">
        <v>1010200001</v>
      </c>
      <c r="B6" s="8" t="s">
        <v>229</v>
      </c>
      <c r="C6" s="328">
        <v>452.03100000000001</v>
      </c>
      <c r="D6" s="329">
        <v>56.014209999999999</v>
      </c>
      <c r="E6" s="9">
        <f t="shared" ref="E6:E11" si="2">SUM(D6/C6*100)</f>
        <v>12.391674464804405</v>
      </c>
      <c r="F6" s="9">
        <f t="shared" si="1"/>
        <v>-396.01679000000001</v>
      </c>
    </row>
    <row r="7" spans="1:6" ht="31.5">
      <c r="A7" s="3">
        <v>1030000000</v>
      </c>
      <c r="B7" s="13" t="s">
        <v>281</v>
      </c>
      <c r="C7" s="482">
        <f>C8+C10+C9</f>
        <v>715.46</v>
      </c>
      <c r="D7" s="280">
        <f>D8+D10+D9+D11</f>
        <v>145.74906999999999</v>
      </c>
      <c r="E7" s="5">
        <f t="shared" si="2"/>
        <v>20.371379252508873</v>
      </c>
      <c r="F7" s="5">
        <f t="shared" si="1"/>
        <v>-569.71093000000008</v>
      </c>
    </row>
    <row r="8" spans="1:6">
      <c r="A8" s="7">
        <v>1030223001</v>
      </c>
      <c r="B8" s="8" t="s">
        <v>283</v>
      </c>
      <c r="C8" s="328">
        <v>266.87</v>
      </c>
      <c r="D8" s="329">
        <v>64.555580000000006</v>
      </c>
      <c r="E8" s="9">
        <f t="shared" si="2"/>
        <v>24.189897703001463</v>
      </c>
      <c r="F8" s="9">
        <f t="shared" si="1"/>
        <v>-202.31441999999998</v>
      </c>
    </row>
    <row r="9" spans="1:6">
      <c r="A9" s="7">
        <v>1030224001</v>
      </c>
      <c r="B9" s="8" t="s">
        <v>289</v>
      </c>
      <c r="C9" s="328">
        <v>2.86</v>
      </c>
      <c r="D9" s="329">
        <v>0.43802999999999997</v>
      </c>
      <c r="E9" s="9">
        <f t="shared" si="2"/>
        <v>15.315734265734266</v>
      </c>
      <c r="F9" s="9">
        <f t="shared" si="1"/>
        <v>-2.42197</v>
      </c>
    </row>
    <row r="10" spans="1:6">
      <c r="A10" s="7">
        <v>1030225001</v>
      </c>
      <c r="B10" s="8" t="s">
        <v>282</v>
      </c>
      <c r="C10" s="328">
        <v>445.73</v>
      </c>
      <c r="D10" s="329">
        <v>94.819379999999995</v>
      </c>
      <c r="E10" s="9">
        <f t="shared" si="2"/>
        <v>21.272828842572856</v>
      </c>
      <c r="F10" s="9">
        <f t="shared" si="1"/>
        <v>-350.91061999999999</v>
      </c>
    </row>
    <row r="11" spans="1:6">
      <c r="A11" s="7">
        <v>1030226001</v>
      </c>
      <c r="B11" s="8" t="s">
        <v>290</v>
      </c>
      <c r="C11" s="328">
        <v>0</v>
      </c>
      <c r="D11" s="327">
        <v>-14.06392</v>
      </c>
      <c r="E11" s="9" t="e">
        <f t="shared" si="2"/>
        <v>#DIV/0!</v>
      </c>
      <c r="F11" s="9">
        <f t="shared" si="1"/>
        <v>-14.06392</v>
      </c>
    </row>
    <row r="12" spans="1:6" s="6" customFormat="1">
      <c r="A12" s="68">
        <v>1050000000</v>
      </c>
      <c r="B12" s="67" t="s">
        <v>7</v>
      </c>
      <c r="C12" s="280">
        <f>SUM(C13:C13)</f>
        <v>50</v>
      </c>
      <c r="D12" s="280">
        <f>D13</f>
        <v>1.2975000000000001</v>
      </c>
      <c r="E12" s="5">
        <f t="shared" si="0"/>
        <v>2.5950000000000002</v>
      </c>
      <c r="F12" s="5">
        <f t="shared" si="1"/>
        <v>-48.702500000000001</v>
      </c>
    </row>
    <row r="13" spans="1:6" ht="15.75" customHeight="1">
      <c r="A13" s="7">
        <v>1050300000</v>
      </c>
      <c r="B13" s="11" t="s">
        <v>230</v>
      </c>
      <c r="C13" s="330">
        <v>50</v>
      </c>
      <c r="D13" s="329">
        <v>1.2975000000000001</v>
      </c>
      <c r="E13" s="9">
        <f t="shared" si="0"/>
        <v>2.5950000000000002</v>
      </c>
      <c r="F13" s="9">
        <f t="shared" si="1"/>
        <v>-48.702500000000001</v>
      </c>
    </row>
    <row r="14" spans="1:6" s="6" customFormat="1" ht="15.75" customHeight="1">
      <c r="A14" s="68">
        <v>1060000000</v>
      </c>
      <c r="B14" s="67" t="s">
        <v>136</v>
      </c>
      <c r="C14" s="280">
        <f>C15+C16</f>
        <v>3138</v>
      </c>
      <c r="D14" s="280">
        <f>D15+D16</f>
        <v>145.98760000000001</v>
      </c>
      <c r="E14" s="5">
        <f t="shared" si="0"/>
        <v>4.6522498406628428</v>
      </c>
      <c r="F14" s="5">
        <f t="shared" si="1"/>
        <v>-2992.0124000000001</v>
      </c>
    </row>
    <row r="15" spans="1:6" s="6" customFormat="1" ht="15.75" customHeight="1">
      <c r="A15" s="7">
        <v>1060100000</v>
      </c>
      <c r="B15" s="11" t="s">
        <v>9</v>
      </c>
      <c r="C15" s="328">
        <v>338</v>
      </c>
      <c r="D15" s="329">
        <v>3.0567199999999999</v>
      </c>
      <c r="E15" s="9">
        <f t="shared" si="0"/>
        <v>0.90435502958579883</v>
      </c>
      <c r="F15" s="9">
        <f>SUM(D15-C15)</f>
        <v>-334.94328000000002</v>
      </c>
    </row>
    <row r="16" spans="1:6" ht="15.75" customHeight="1">
      <c r="A16" s="7">
        <v>1060600000</v>
      </c>
      <c r="B16" s="11" t="s">
        <v>8</v>
      </c>
      <c r="C16" s="328">
        <v>2800</v>
      </c>
      <c r="D16" s="329">
        <v>142.93088</v>
      </c>
      <c r="E16" s="9">
        <f t="shared" si="0"/>
        <v>5.1046742857142853</v>
      </c>
      <c r="F16" s="9">
        <f t="shared" si="1"/>
        <v>-2657.0691200000001</v>
      </c>
    </row>
    <row r="17" spans="1:6" s="6" customFormat="1">
      <c r="A17" s="3">
        <v>1080000000</v>
      </c>
      <c r="B17" s="4" t="s">
        <v>11</v>
      </c>
      <c r="C17" s="280">
        <f>C18</f>
        <v>25</v>
      </c>
      <c r="D17" s="280">
        <f>D18</f>
        <v>1.8</v>
      </c>
      <c r="E17" s="5">
        <f t="shared" si="0"/>
        <v>7.2000000000000011</v>
      </c>
      <c r="F17" s="5">
        <f t="shared" si="1"/>
        <v>-23.2</v>
      </c>
    </row>
    <row r="18" spans="1:6" ht="18" customHeight="1">
      <c r="A18" s="7">
        <v>1080400001</v>
      </c>
      <c r="B18" s="8" t="s">
        <v>228</v>
      </c>
      <c r="C18" s="328">
        <v>25</v>
      </c>
      <c r="D18" s="329">
        <v>1.8</v>
      </c>
      <c r="E18" s="9">
        <f t="shared" si="0"/>
        <v>7.2000000000000011</v>
      </c>
      <c r="F18" s="9">
        <f t="shared" si="1"/>
        <v>-23.2</v>
      </c>
    </row>
    <row r="19" spans="1:6" ht="47.25" hidden="1" customHeight="1">
      <c r="A19" s="7">
        <v>1080714001</v>
      </c>
      <c r="B19" s="8" t="s">
        <v>12</v>
      </c>
      <c r="C19" s="328"/>
      <c r="D19" s="329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0">
        <f>C21+C22+C23+C24</f>
        <v>0</v>
      </c>
      <c r="D20" s="28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0"/>
      <c r="D21" s="331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0"/>
      <c r="D22" s="331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0"/>
      <c r="D23" s="331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0"/>
      <c r="D24" s="331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0">
        <f>C26+C29+C31+C36</f>
        <v>40</v>
      </c>
      <c r="D25" s="93">
        <f>D26+D29+D31+D36+D34</f>
        <v>4.95838</v>
      </c>
      <c r="E25" s="5">
        <f t="shared" si="0"/>
        <v>12.395949999999999</v>
      </c>
      <c r="F25" s="5">
        <f t="shared" si="1"/>
        <v>-35.041620000000002</v>
      </c>
    </row>
    <row r="26" spans="1:6" s="6" customFormat="1" ht="30" customHeight="1">
      <c r="A26" s="68">
        <v>1110000000</v>
      </c>
      <c r="B26" s="69" t="s">
        <v>129</v>
      </c>
      <c r="C26" s="280">
        <f>C27+C28</f>
        <v>40</v>
      </c>
      <c r="D26" s="93">
        <f>D27+D28</f>
        <v>4.95838</v>
      </c>
      <c r="E26" s="5">
        <f t="shared" si="0"/>
        <v>12.395949999999999</v>
      </c>
      <c r="F26" s="5">
        <f t="shared" si="1"/>
        <v>-35.041620000000002</v>
      </c>
    </row>
    <row r="27" spans="1:6" ht="15" customHeight="1">
      <c r="A27" s="16">
        <v>1110502510</v>
      </c>
      <c r="B27" s="17" t="s">
        <v>226</v>
      </c>
      <c r="C27" s="330">
        <v>40</v>
      </c>
      <c r="D27" s="327">
        <v>4.95838</v>
      </c>
      <c r="E27" s="9">
        <f t="shared" si="0"/>
        <v>12.395949999999999</v>
      </c>
      <c r="F27" s="9">
        <f t="shared" si="1"/>
        <v>-35.041620000000002</v>
      </c>
    </row>
    <row r="28" spans="1:6" ht="15.75" customHeight="1">
      <c r="A28" s="7">
        <v>1110503505</v>
      </c>
      <c r="B28" s="11" t="s">
        <v>225</v>
      </c>
      <c r="C28" s="330">
        <v>0</v>
      </c>
      <c r="D28" s="329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280">
        <f>C30</f>
        <v>0</v>
      </c>
      <c r="D29" s="280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328">
        <v>0</v>
      </c>
      <c r="D30" s="329">
        <v>0</v>
      </c>
      <c r="E30" s="9" t="e">
        <f t="shared" si="0"/>
        <v>#DIV/0!</v>
      </c>
      <c r="F30" s="9">
        <f t="shared" si="1"/>
        <v>0</v>
      </c>
    </row>
    <row r="31" spans="1:6" ht="28.5" hidden="1">
      <c r="A31" s="70">
        <v>1140000000</v>
      </c>
      <c r="B31" s="71" t="s">
        <v>132</v>
      </c>
      <c r="C31" s="280">
        <f>C32+C33</f>
        <v>0</v>
      </c>
      <c r="D31" s="280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328">
        <v>0</v>
      </c>
      <c r="D32" s="329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328">
        <v>0</v>
      </c>
      <c r="D33" s="329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0">
        <f>C35</f>
        <v>0</v>
      </c>
      <c r="D34" s="280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28">
        <v>0</v>
      </c>
      <c r="D35" s="329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0">
        <f>C37+C38</f>
        <v>0</v>
      </c>
      <c r="D36" s="93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18</v>
      </c>
      <c r="C37" s="328">
        <f>C38</f>
        <v>0</v>
      </c>
      <c r="D37" s="338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221</v>
      </c>
      <c r="C38" s="328">
        <v>0</v>
      </c>
      <c r="D38" s="329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2">
        <f>SUM(C4,C25)</f>
        <v>4420.491</v>
      </c>
      <c r="D39" s="332">
        <f>D4+D25</f>
        <v>355.80676</v>
      </c>
      <c r="E39" s="5">
        <f t="shared" si="0"/>
        <v>8.0490325622198995</v>
      </c>
      <c r="F39" s="5">
        <f t="shared" si="1"/>
        <v>-4064.68424</v>
      </c>
    </row>
    <row r="40" spans="1:7" s="6" customFormat="1">
      <c r="A40" s="3">
        <v>2000000000</v>
      </c>
      <c r="B40" s="4" t="s">
        <v>20</v>
      </c>
      <c r="C40" s="393">
        <f>C41+C43+C45+C46+C47+C48+C42+C44</f>
        <v>3182.8553900000002</v>
      </c>
      <c r="D40" s="280">
        <f>D41+D43+D45+D46+D47+D48+D42</f>
        <v>213.18199999999999</v>
      </c>
      <c r="E40" s="5">
        <f t="shared" si="0"/>
        <v>6.6978223600664428</v>
      </c>
      <c r="F40" s="5">
        <f t="shared" si="1"/>
        <v>-2969.6733900000004</v>
      </c>
      <c r="G40" s="19"/>
    </row>
    <row r="41" spans="1:7">
      <c r="A41" s="16">
        <v>2021000000</v>
      </c>
      <c r="B41" s="17" t="s">
        <v>21</v>
      </c>
      <c r="C41" s="333">
        <v>1101.0999999999999</v>
      </c>
      <c r="D41" s="334">
        <v>183.51599999999999</v>
      </c>
      <c r="E41" s="9">
        <f t="shared" si="0"/>
        <v>16.666606121151574</v>
      </c>
      <c r="F41" s="9">
        <f t="shared" si="1"/>
        <v>-917.58399999999995</v>
      </c>
    </row>
    <row r="42" spans="1:7" ht="17.25" hidden="1" customHeight="1">
      <c r="A42" s="16">
        <v>2021500200</v>
      </c>
      <c r="B42" s="17" t="s">
        <v>232</v>
      </c>
      <c r="C42" s="333">
        <v>0</v>
      </c>
      <c r="D42" s="334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3">
        <v>1896.875</v>
      </c>
      <c r="D43" s="329">
        <v>0</v>
      </c>
      <c r="E43" s="9">
        <f t="shared" si="0"/>
        <v>0</v>
      </c>
      <c r="F43" s="9">
        <f t="shared" si="1"/>
        <v>-1896.875</v>
      </c>
    </row>
    <row r="44" spans="1:7" ht="0.75" hidden="1" customHeight="1">
      <c r="A44" s="16">
        <v>2022999910</v>
      </c>
      <c r="B44" s="18" t="s">
        <v>350</v>
      </c>
      <c r="C44" s="333">
        <v>0</v>
      </c>
      <c r="D44" s="329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0">
        <v>182.38900000000001</v>
      </c>
      <c r="D45" s="335">
        <v>29.666</v>
      </c>
      <c r="E45" s="9">
        <f t="shared" si="0"/>
        <v>16.265235293795129</v>
      </c>
      <c r="F45" s="9">
        <f t="shared" si="1"/>
        <v>-152.72300000000001</v>
      </c>
    </row>
    <row r="46" spans="1:7" ht="12.75" hidden="1" customHeight="1">
      <c r="A46" s="16">
        <v>2020400000</v>
      </c>
      <c r="B46" s="17" t="s">
        <v>24</v>
      </c>
      <c r="C46" s="330"/>
      <c r="D46" s="336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357</v>
      </c>
      <c r="C47" s="330">
        <v>2.49139</v>
      </c>
      <c r="D47" s="336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26</v>
      </c>
      <c r="C48" s="331"/>
      <c r="D48" s="331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27</v>
      </c>
      <c r="C49" s="337">
        <v>0</v>
      </c>
      <c r="D49" s="331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76">
        <f>C39+C40</f>
        <v>7603.3463900000006</v>
      </c>
      <c r="D50" s="373">
        <f>D39+D40</f>
        <v>568.98875999999996</v>
      </c>
      <c r="E50" s="280">
        <f t="shared" si="0"/>
        <v>7.4833991615631215</v>
      </c>
      <c r="F50" s="93">
        <f t="shared" si="1"/>
        <v>-7034.3576300000004</v>
      </c>
      <c r="G50" s="151"/>
      <c r="H50" s="293"/>
    </row>
    <row r="51" spans="1:8" s="6" customFormat="1">
      <c r="A51" s="3"/>
      <c r="B51" s="21" t="s">
        <v>321</v>
      </c>
      <c r="C51" s="93">
        <f>C50-C97</f>
        <v>-668.67249999999876</v>
      </c>
      <c r="D51" s="93">
        <f>D50-D97</f>
        <v>-149.69524000000001</v>
      </c>
      <c r="E51" s="32"/>
      <c r="F51" s="32"/>
    </row>
    <row r="52" spans="1:8">
      <c r="A52" s="23"/>
      <c r="B52" s="24"/>
      <c r="C52" s="325"/>
      <c r="D52" s="325"/>
      <c r="E52" s="26"/>
      <c r="F52" s="27"/>
    </row>
    <row r="53" spans="1:8" ht="45.75" customHeight="1">
      <c r="A53" s="28" t="s">
        <v>1</v>
      </c>
      <c r="B53" s="28" t="s">
        <v>29</v>
      </c>
      <c r="C53" s="243" t="s">
        <v>412</v>
      </c>
      <c r="D53" s="244" t="s">
        <v>418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1642.1209999999999</v>
      </c>
      <c r="D55" s="32">
        <f>D56+D57+D58+D59+D60+D62+D61</f>
        <v>151.13004000000001</v>
      </c>
      <c r="E55" s="34">
        <f>SUM(D55/C55*100)</f>
        <v>9.203343724366233</v>
      </c>
      <c r="F55" s="34">
        <f>SUM(D55-C55)</f>
        <v>-1490.9909599999999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1582.0709999999999</v>
      </c>
      <c r="D57" s="37">
        <v>146.08004</v>
      </c>
      <c r="E57" s="38">
        <f t="shared" ref="E57:E69" si="3">SUM(D57/C57*100)</f>
        <v>9.2334692943616314</v>
      </c>
      <c r="F57" s="38">
        <f t="shared" ref="F57:F69" si="4">SUM(D57-C57)</f>
        <v>-1435.9909599999999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55.05</v>
      </c>
      <c r="D62" s="37">
        <v>5.05</v>
      </c>
      <c r="E62" s="38">
        <f t="shared" si="3"/>
        <v>9.1734786557674841</v>
      </c>
      <c r="F62" s="38">
        <f t="shared" si="4"/>
        <v>-50</v>
      </c>
    </row>
    <row r="63" spans="1:8" s="6" customFormat="1">
      <c r="A63" s="41" t="s">
        <v>46</v>
      </c>
      <c r="B63" s="42" t="s">
        <v>47</v>
      </c>
      <c r="C63" s="32">
        <f>C64</f>
        <v>179.892</v>
      </c>
      <c r="D63" s="32">
        <f>D64</f>
        <v>18.68656</v>
      </c>
      <c r="E63" s="34">
        <f t="shared" si="3"/>
        <v>10.38765481511129</v>
      </c>
      <c r="F63" s="34">
        <f t="shared" si="4"/>
        <v>-161.20544000000001</v>
      </c>
    </row>
    <row r="64" spans="1:8">
      <c r="A64" s="43" t="s">
        <v>48</v>
      </c>
      <c r="B64" s="44" t="s">
        <v>49</v>
      </c>
      <c r="C64" s="37">
        <v>179.892</v>
      </c>
      <c r="D64" s="37">
        <v>18.68656</v>
      </c>
      <c r="E64" s="38">
        <f t="shared" si="3"/>
        <v>10.38765481511129</v>
      </c>
      <c r="F64" s="38">
        <f t="shared" si="4"/>
        <v>-161.20544000000001</v>
      </c>
    </row>
    <row r="65" spans="1:7" s="6" customFormat="1" ht="15.75" customHeight="1">
      <c r="A65" s="30" t="s">
        <v>50</v>
      </c>
      <c r="B65" s="31" t="s">
        <v>51</v>
      </c>
      <c r="C65" s="32">
        <f>C68+C69+C70</f>
        <v>6</v>
      </c>
      <c r="D65" s="32">
        <f>D68+D69</f>
        <v>0</v>
      </c>
      <c r="E65" s="34">
        <f t="shared" si="3"/>
        <v>0</v>
      </c>
      <c r="F65" s="34">
        <f t="shared" si="4"/>
        <v>-6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1.6</v>
      </c>
      <c r="D68" s="37">
        <v>0</v>
      </c>
      <c r="E68" s="34">
        <f t="shared" si="3"/>
        <v>0</v>
      </c>
      <c r="F68" s="34">
        <f t="shared" si="4"/>
        <v>-1.6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 s="6" customFormat="1" ht="15.75" customHeight="1">
      <c r="A70" s="46" t="s">
        <v>358</v>
      </c>
      <c r="B70" s="47" t="s">
        <v>437</v>
      </c>
      <c r="C70" s="37">
        <v>2</v>
      </c>
      <c r="D70" s="37"/>
      <c r="E70" s="38"/>
      <c r="F70" s="38"/>
    </row>
    <row r="71" spans="1:7">
      <c r="A71" s="30" t="s">
        <v>58</v>
      </c>
      <c r="B71" s="31" t="s">
        <v>59</v>
      </c>
      <c r="C71" s="48">
        <f>SUM(C72:C75)</f>
        <v>3327.7488899999998</v>
      </c>
      <c r="D71" s="48">
        <f>SUM(D72:D75)</f>
        <v>35.88644</v>
      </c>
      <c r="E71" s="34">
        <f t="shared" ref="E71:E86" si="5">SUM(D71/C71*100)</f>
        <v>1.0783998789043245</v>
      </c>
      <c r="F71" s="34">
        <f t="shared" ref="F71:F86" si="6">SUM(D71-C71)</f>
        <v>-3291.8624499999996</v>
      </c>
    </row>
    <row r="72" spans="1:7" s="6" customFormat="1" ht="17.25" customHeight="1">
      <c r="A72" s="35" t="s">
        <v>60</v>
      </c>
      <c r="B72" s="39" t="s">
        <v>61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62</v>
      </c>
      <c r="B73" s="39" t="s">
        <v>63</v>
      </c>
      <c r="C73" s="49">
        <v>280</v>
      </c>
      <c r="D73" s="37">
        <v>0</v>
      </c>
      <c r="E73" s="38">
        <f t="shared" si="5"/>
        <v>0</v>
      </c>
      <c r="F73" s="38">
        <f t="shared" si="6"/>
        <v>-280</v>
      </c>
    </row>
    <row r="74" spans="1:7">
      <c r="A74" s="35" t="s">
        <v>64</v>
      </c>
      <c r="B74" s="39" t="s">
        <v>65</v>
      </c>
      <c r="C74" s="49">
        <v>2991.04639</v>
      </c>
      <c r="D74" s="37">
        <v>35.88644</v>
      </c>
      <c r="E74" s="38">
        <f t="shared" si="5"/>
        <v>1.1997955003299028</v>
      </c>
      <c r="F74" s="38">
        <f t="shared" si="6"/>
        <v>-2955.1599499999998</v>
      </c>
    </row>
    <row r="75" spans="1:7" s="6" customFormat="1">
      <c r="A75" s="35" t="s">
        <v>66</v>
      </c>
      <c r="B75" s="39" t="s">
        <v>67</v>
      </c>
      <c r="C75" s="49">
        <v>50</v>
      </c>
      <c r="D75" s="37">
        <v>0</v>
      </c>
      <c r="E75" s="38">
        <f t="shared" si="5"/>
        <v>0</v>
      </c>
      <c r="F75" s="38">
        <f t="shared" si="6"/>
        <v>-50</v>
      </c>
    </row>
    <row r="76" spans="1:7" ht="17.25" customHeight="1">
      <c r="A76" s="30" t="s">
        <v>68</v>
      </c>
      <c r="B76" s="31" t="s">
        <v>69</v>
      </c>
      <c r="C76" s="32">
        <f>SUM(C77:C79)</f>
        <v>843.45699999999999</v>
      </c>
      <c r="D76" s="32">
        <f>SUM(D77:D79)</f>
        <v>134.98096000000001</v>
      </c>
      <c r="E76" s="34">
        <f t="shared" si="5"/>
        <v>16.003300701754803</v>
      </c>
      <c r="F76" s="34">
        <f t="shared" si="6"/>
        <v>-708.47604000000001</v>
      </c>
    </row>
    <row r="77" spans="1:7" ht="0.7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74</v>
      </c>
      <c r="B79" s="39" t="s">
        <v>75</v>
      </c>
      <c r="C79" s="37">
        <v>843.45699999999999</v>
      </c>
      <c r="D79" s="37">
        <v>134.98096000000001</v>
      </c>
      <c r="E79" s="38">
        <f t="shared" si="5"/>
        <v>16.003300701754803</v>
      </c>
      <c r="F79" s="38">
        <f t="shared" si="6"/>
        <v>-708.47604000000001</v>
      </c>
    </row>
    <row r="80" spans="1:7">
      <c r="A80" s="30" t="s">
        <v>86</v>
      </c>
      <c r="B80" s="31" t="s">
        <v>87</v>
      </c>
      <c r="C80" s="32">
        <f>C81</f>
        <v>2271.8000000000002</v>
      </c>
      <c r="D80" s="32">
        <f>D81</f>
        <v>378</v>
      </c>
      <c r="E80" s="34">
        <f t="shared" si="5"/>
        <v>16.638788625759311</v>
      </c>
      <c r="F80" s="34">
        <f t="shared" si="6"/>
        <v>-1893.8000000000002</v>
      </c>
    </row>
    <row r="81" spans="1:6" s="6" customFormat="1" ht="15" customHeight="1">
      <c r="A81" s="35" t="s">
        <v>88</v>
      </c>
      <c r="B81" s="39" t="s">
        <v>234</v>
      </c>
      <c r="C81" s="37">
        <v>2271.8000000000002</v>
      </c>
      <c r="D81" s="37">
        <v>378</v>
      </c>
      <c r="E81" s="38">
        <f t="shared" si="5"/>
        <v>16.638788625759311</v>
      </c>
      <c r="F81" s="38">
        <f t="shared" si="6"/>
        <v>-1893.8000000000002</v>
      </c>
    </row>
    <row r="82" spans="1:6" ht="20.2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90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92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93</v>
      </c>
      <c r="B86" s="39" t="s">
        <v>94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95</v>
      </c>
      <c r="B87" s="31" t="s">
        <v>96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97</v>
      </c>
      <c r="B88" s="39" t="s">
        <v>98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99</v>
      </c>
      <c r="B89" s="39" t="s">
        <v>100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101</v>
      </c>
      <c r="B90" s="39" t="s">
        <v>102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103</v>
      </c>
      <c r="B91" s="39" t="s">
        <v>104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105</v>
      </c>
      <c r="B92" s="39" t="s">
        <v>106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116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117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118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119</v>
      </c>
      <c r="C97" s="376">
        <f>C55+C63+C65+C71+C76+C80+C82+C87+C93</f>
        <v>8272.0188899999994</v>
      </c>
      <c r="D97" s="389">
        <f>D55+D63+D65+D71+D76+D80+D82+D87+D93</f>
        <v>718.68399999999997</v>
      </c>
      <c r="E97" s="34">
        <f t="shared" si="7"/>
        <v>8.6881329643578713</v>
      </c>
      <c r="F97" s="34">
        <f>SUM(D97-C97)</f>
        <v>-7553.3348899999992</v>
      </c>
    </row>
    <row r="98" spans="1:6" s="65" customFormat="1" ht="22.5" customHeight="1">
      <c r="A98" s="63" t="s">
        <v>120</v>
      </c>
      <c r="B98" s="63"/>
      <c r="C98" s="249"/>
      <c r="D98" s="249"/>
    </row>
    <row r="99" spans="1:6" ht="16.5" customHeight="1">
      <c r="A99" s="66" t="s">
        <v>121</v>
      </c>
      <c r="B99" s="66"/>
      <c r="C99" s="249" t="s">
        <v>122</v>
      </c>
      <c r="D99" s="249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37D0E254-14A1-48DF-98B1-097427A51078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4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5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  <customSheetView guid="{61528DAC-5C4C-48F4-ADE2-8A724B05A086}" scale="70" showPageBreaks="1" hiddenRows="1" view="pageBreakPreview" topLeftCell="A13">
      <selection activeCell="C68" sqref="C6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zoomScale="70" zoomScaleNormal="100" zoomScaleSheetLayoutView="70" workbookViewId="0">
      <selection activeCell="D7" sqref="D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426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4744.2569999999996</v>
      </c>
      <c r="D4" s="5">
        <f>D5+D12+D14+D7+D20+D17</f>
        <v>566.41007000000002</v>
      </c>
      <c r="E4" s="5">
        <f>SUM(D4/C4*100)</f>
        <v>11.938857233071481</v>
      </c>
      <c r="F4" s="5">
        <f>SUM(D4-C4)</f>
        <v>-4177.8469299999997</v>
      </c>
    </row>
    <row r="5" spans="1:6" s="6" customFormat="1">
      <c r="A5" s="68">
        <v>1010000000</v>
      </c>
      <c r="B5" s="67" t="s">
        <v>6</v>
      </c>
      <c r="C5" s="5">
        <f>C6</f>
        <v>1755.837</v>
      </c>
      <c r="D5" s="5">
        <f>D6</f>
        <v>243.81647000000001</v>
      </c>
      <c r="E5" s="5">
        <f t="shared" ref="E5:E51" si="0">SUM(D5/C5*100)</f>
        <v>13.886053773784241</v>
      </c>
      <c r="F5" s="5">
        <f t="shared" ref="F5:F51" si="1">SUM(D5-C5)</f>
        <v>-1512.02053</v>
      </c>
    </row>
    <row r="6" spans="1:6">
      <c r="A6" s="7">
        <v>1010200001</v>
      </c>
      <c r="B6" s="8" t="s">
        <v>229</v>
      </c>
      <c r="C6" s="91">
        <v>1755.837</v>
      </c>
      <c r="D6" s="10">
        <v>243.81647000000001</v>
      </c>
      <c r="E6" s="9">
        <f t="shared" ref="E6:E11" si="2">SUM(D6/C6*100)</f>
        <v>13.886053773784241</v>
      </c>
      <c r="F6" s="9">
        <f t="shared" si="1"/>
        <v>-1512.02053</v>
      </c>
    </row>
    <row r="7" spans="1:6">
      <c r="A7" s="3">
        <v>1030200001</v>
      </c>
      <c r="B7" s="13" t="s">
        <v>279</v>
      </c>
      <c r="C7" s="5">
        <f>C8+C10+C9</f>
        <v>353.42</v>
      </c>
      <c r="D7" s="5">
        <f>D8+D9+D10+D11</f>
        <v>71.996549999999999</v>
      </c>
      <c r="E7" s="9">
        <f t="shared" si="2"/>
        <v>20.371385320581741</v>
      </c>
      <c r="F7" s="9">
        <f t="shared" si="1"/>
        <v>-281.42345</v>
      </c>
    </row>
    <row r="8" spans="1:6">
      <c r="A8" s="7">
        <v>1030223001</v>
      </c>
      <c r="B8" s="8" t="s">
        <v>283</v>
      </c>
      <c r="C8" s="9">
        <v>131.83000000000001</v>
      </c>
      <c r="D8" s="10">
        <v>31.888919999999999</v>
      </c>
      <c r="E8" s="9">
        <f t="shared" si="2"/>
        <v>24.189425775620112</v>
      </c>
      <c r="F8" s="9">
        <f t="shared" si="1"/>
        <v>-99.941080000000014</v>
      </c>
    </row>
    <row r="9" spans="1:6">
      <c r="A9" s="7">
        <v>1030224001</v>
      </c>
      <c r="B9" s="8" t="s">
        <v>289</v>
      </c>
      <c r="C9" s="9">
        <v>1.41</v>
      </c>
      <c r="D9" s="10">
        <v>0.21636</v>
      </c>
      <c r="E9" s="9">
        <f t="shared" si="2"/>
        <v>15.34468085106383</v>
      </c>
      <c r="F9" s="9">
        <f t="shared" si="1"/>
        <v>-1.1936399999999998</v>
      </c>
    </row>
    <row r="10" spans="1:6">
      <c r="A10" s="7">
        <v>1030225001</v>
      </c>
      <c r="B10" s="8" t="s">
        <v>282</v>
      </c>
      <c r="C10" s="9">
        <v>220.18</v>
      </c>
      <c r="D10" s="10">
        <v>46.838500000000003</v>
      </c>
      <c r="E10" s="9">
        <f t="shared" si="2"/>
        <v>21.272822236352077</v>
      </c>
      <c r="F10" s="9">
        <f t="shared" si="1"/>
        <v>-173.3415</v>
      </c>
    </row>
    <row r="11" spans="1:6">
      <c r="A11" s="7">
        <v>1030226001</v>
      </c>
      <c r="B11" s="8" t="s">
        <v>291</v>
      </c>
      <c r="C11" s="9">
        <v>0</v>
      </c>
      <c r="D11" s="10">
        <v>-6.9472300000000002</v>
      </c>
      <c r="E11" s="9" t="e">
        <f t="shared" si="2"/>
        <v>#DIV/0!</v>
      </c>
      <c r="F11" s="9">
        <f t="shared" si="1"/>
        <v>-6.9472300000000002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5.5380000000000003</v>
      </c>
      <c r="E12" s="5">
        <f t="shared" si="0"/>
        <v>7.3840000000000003</v>
      </c>
      <c r="F12" s="5">
        <f t="shared" si="1"/>
        <v>-69.462000000000003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5.5380000000000003</v>
      </c>
      <c r="E13" s="9">
        <f t="shared" si="0"/>
        <v>7.3840000000000003</v>
      </c>
      <c r="F13" s="9">
        <f t="shared" si="1"/>
        <v>-69.462000000000003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2560</v>
      </c>
      <c r="D14" s="5">
        <f>D15+D16</f>
        <v>245.05905000000001</v>
      </c>
      <c r="E14" s="5">
        <f t="shared" si="0"/>
        <v>9.572619140625001</v>
      </c>
      <c r="F14" s="5">
        <f t="shared" si="1"/>
        <v>-2314.9409500000002</v>
      </c>
    </row>
    <row r="15" spans="1:6" s="6" customFormat="1" ht="15" customHeight="1">
      <c r="A15" s="7">
        <v>1060100000</v>
      </c>
      <c r="B15" s="11" t="s">
        <v>254</v>
      </c>
      <c r="C15" s="9">
        <v>900</v>
      </c>
      <c r="D15" s="10">
        <v>51.655850000000001</v>
      </c>
      <c r="E15" s="9">
        <f t="shared" si="0"/>
        <v>5.7395388888888892</v>
      </c>
      <c r="F15" s="9">
        <f>SUM(D15-C15)</f>
        <v>-848.34415000000001</v>
      </c>
    </row>
    <row r="16" spans="1:6" ht="17.25" customHeight="1">
      <c r="A16" s="7">
        <v>1060600000</v>
      </c>
      <c r="B16" s="11" t="s">
        <v>8</v>
      </c>
      <c r="C16" s="9">
        <v>1660</v>
      </c>
      <c r="D16" s="10">
        <v>193.4032</v>
      </c>
      <c r="E16" s="9">
        <f t="shared" si="0"/>
        <v>11.650795180722891</v>
      </c>
      <c r="F16" s="9">
        <f t="shared" si="1"/>
        <v>-1466.5968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4744.2569999999996</v>
      </c>
      <c r="D39" s="127">
        <f>D4+D25</f>
        <v>566.41007000000002</v>
      </c>
      <c r="E39" s="5">
        <f t="shared" si="0"/>
        <v>11.938857233071481</v>
      </c>
      <c r="F39" s="5">
        <f t="shared" si="1"/>
        <v>-4177.8469299999997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12616.86319</v>
      </c>
      <c r="D40" s="5">
        <f>D41+D43+D45+D46+D47+D49+D42+D48</f>
        <v>781.25</v>
      </c>
      <c r="E40" s="5">
        <f t="shared" si="0"/>
        <v>6.1921096253085395</v>
      </c>
      <c r="F40" s="5">
        <f t="shared" si="1"/>
        <v>-11835.61319</v>
      </c>
      <c r="G40" s="19"/>
    </row>
    <row r="41" spans="1:7" ht="17.25" customHeight="1">
      <c r="A41" s="16">
        <v>2021000000</v>
      </c>
      <c r="B41" s="17" t="s">
        <v>21</v>
      </c>
      <c r="C41" s="12">
        <v>4687.5</v>
      </c>
      <c r="D41" s="20">
        <v>781.25</v>
      </c>
      <c r="E41" s="9">
        <f t="shared" si="0"/>
        <v>16.666666666666664</v>
      </c>
      <c r="F41" s="9">
        <f t="shared" si="1"/>
        <v>-3906.25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9">
        <v>7583.9678999999996</v>
      </c>
      <c r="D43" s="10">
        <v>0</v>
      </c>
      <c r="E43" s="9">
        <f t="shared" si="0"/>
        <v>0</v>
      </c>
      <c r="F43" s="9">
        <f t="shared" si="1"/>
        <v>-7583.9678999999996</v>
      </c>
    </row>
    <row r="44" spans="1:7" ht="0.75" hidden="1" customHeight="1">
      <c r="A44" s="16">
        <v>2022999910</v>
      </c>
      <c r="B44" s="18" t="s">
        <v>350</v>
      </c>
      <c r="C44" s="279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9.2170000000000005</v>
      </c>
      <c r="D45" s="251">
        <v>0</v>
      </c>
      <c r="E45" s="9">
        <f t="shared" si="0"/>
        <v>0</v>
      </c>
      <c r="F45" s="9">
        <f t="shared" si="1"/>
        <v>-9.2170000000000005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2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336.17829</v>
      </c>
      <c r="D48" s="252">
        <v>0</v>
      </c>
      <c r="E48" s="9">
        <f>SUM(D48/C48*100)</f>
        <v>0</v>
      </c>
      <c r="F48" s="9">
        <f>SUM(D48-C48)</f>
        <v>-336.17829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7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72">
        <f>SUM(C39,C40,C50)</f>
        <v>17361.120190000001</v>
      </c>
      <c r="D51" s="373">
        <f>D39+D40</f>
        <v>1347.6600699999999</v>
      </c>
      <c r="E51" s="93">
        <f t="shared" si="0"/>
        <v>7.7625179438378158</v>
      </c>
      <c r="F51" s="93">
        <f t="shared" si="1"/>
        <v>-16013.460120000002</v>
      </c>
      <c r="G51" s="151">
        <f>C51-17361.12019</f>
        <v>0</v>
      </c>
    </row>
    <row r="52" spans="1:7" s="6" customFormat="1" ht="23.25" customHeight="1">
      <c r="A52" s="3"/>
      <c r="B52" s="21" t="s">
        <v>321</v>
      </c>
      <c r="C52" s="93">
        <f>C51-C98</f>
        <v>-110.23829000000114</v>
      </c>
      <c r="D52" s="93">
        <f>D51-D98</f>
        <v>99.421789999999874</v>
      </c>
      <c r="E52" s="281"/>
      <c r="F52" s="281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412</v>
      </c>
      <c r="D54" s="73" t="s">
        <v>418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1880.018</v>
      </c>
      <c r="D56" s="33">
        <f>D57+D58+D59+D60+D61+D63+D62</f>
        <v>235.75158999999999</v>
      </c>
      <c r="E56" s="34">
        <f>SUM(D56/C56*100)</f>
        <v>12.539858129017913</v>
      </c>
      <c r="F56" s="34">
        <f>SUM(D56-C56)</f>
        <v>-1644.26641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1705.1</v>
      </c>
      <c r="D58" s="37">
        <v>216.83358999999999</v>
      </c>
      <c r="E58" s="38">
        <f t="shared" ref="E58:E98" si="3">SUM(D58/C58*100)</f>
        <v>12.716766758547884</v>
      </c>
      <c r="F58" s="38">
        <f t="shared" ref="F58:F98" si="4">SUM(D58-C58)</f>
        <v>-1488.26641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44</v>
      </c>
      <c r="B63" s="39" t="s">
        <v>45</v>
      </c>
      <c r="C63" s="97">
        <v>169.91800000000001</v>
      </c>
      <c r="D63" s="37">
        <v>18.917999999999999</v>
      </c>
      <c r="E63" s="38">
        <f t="shared" si="3"/>
        <v>11.133605621535093</v>
      </c>
      <c r="F63" s="38">
        <f t="shared" si="4"/>
        <v>-151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C69+C70+C71</f>
        <v>6</v>
      </c>
      <c r="D66" s="150">
        <f>D69+D70</f>
        <v>0</v>
      </c>
      <c r="E66" s="34">
        <f t="shared" si="3"/>
        <v>0</v>
      </c>
      <c r="F66" s="34">
        <f t="shared" si="4"/>
        <v>-6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9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358</v>
      </c>
      <c r="B71" s="47" t="s">
        <v>438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2121.67058</v>
      </c>
      <c r="D72" s="48">
        <f>SUM(D73:D76)</f>
        <v>167.88647</v>
      </c>
      <c r="E72" s="34">
        <f t="shared" si="3"/>
        <v>7.9129376436939607</v>
      </c>
      <c r="F72" s="34">
        <f t="shared" si="4"/>
        <v>-1953.7841100000001</v>
      </c>
    </row>
    <row r="73" spans="1:7" ht="15" customHeight="1">
      <c r="A73" s="35" t="s">
        <v>60</v>
      </c>
      <c r="B73" s="39" t="s">
        <v>61</v>
      </c>
      <c r="C73" s="49">
        <v>21.448</v>
      </c>
      <c r="D73" s="37">
        <v>0</v>
      </c>
      <c r="E73" s="38">
        <f t="shared" si="3"/>
        <v>0</v>
      </c>
      <c r="F73" s="38">
        <f t="shared" si="4"/>
        <v>-21.448</v>
      </c>
    </row>
    <row r="74" spans="1:7" s="6" customFormat="1" ht="15.75" customHeight="1">
      <c r="A74" s="35" t="s">
        <v>62</v>
      </c>
      <c r="B74" s="39" t="s">
        <v>63</v>
      </c>
      <c r="C74" s="49">
        <v>200</v>
      </c>
      <c r="D74" s="37">
        <v>56.549799999999998</v>
      </c>
      <c r="E74" s="38">
        <f t="shared" si="3"/>
        <v>28.274899999999999</v>
      </c>
      <c r="F74" s="38">
        <f t="shared" si="4"/>
        <v>-143.4502</v>
      </c>
      <c r="G74" s="50"/>
    </row>
    <row r="75" spans="1:7" ht="15" customHeight="1">
      <c r="A75" s="35" t="s">
        <v>64</v>
      </c>
      <c r="B75" s="39" t="s">
        <v>65</v>
      </c>
      <c r="C75" s="49">
        <v>1734.68658</v>
      </c>
      <c r="D75" s="37">
        <v>17.836670000000002</v>
      </c>
      <c r="E75" s="38">
        <f t="shared" si="3"/>
        <v>1.0282358903128195</v>
      </c>
      <c r="F75" s="38">
        <f t="shared" si="4"/>
        <v>-1716.8499100000001</v>
      </c>
    </row>
    <row r="76" spans="1:7" ht="18" customHeight="1">
      <c r="A76" s="35" t="s">
        <v>66</v>
      </c>
      <c r="B76" s="39" t="s">
        <v>67</v>
      </c>
      <c r="C76" s="49">
        <v>165.536</v>
      </c>
      <c r="D76" s="37">
        <v>93.5</v>
      </c>
      <c r="E76" s="38">
        <f t="shared" si="3"/>
        <v>56.483181906050653</v>
      </c>
      <c r="F76" s="38">
        <f t="shared" si="4"/>
        <v>-72.036000000000001</v>
      </c>
    </row>
    <row r="77" spans="1:7" s="6" customFormat="1" ht="17.25" customHeight="1">
      <c r="A77" s="30" t="s">
        <v>68</v>
      </c>
      <c r="B77" s="31" t="s">
        <v>69</v>
      </c>
      <c r="C77" s="32">
        <f>C78+C79+C80+C83</f>
        <v>9723.6699000000008</v>
      </c>
      <c r="D77" s="32">
        <f>D78+D79+D80+D83</f>
        <v>222.10022000000001</v>
      </c>
      <c r="E77" s="34">
        <f t="shared" si="3"/>
        <v>2.2841192912153465</v>
      </c>
      <c r="F77" s="34">
        <f t="shared" si="4"/>
        <v>-9501.5696800000005</v>
      </c>
    </row>
    <row r="78" spans="1:7" ht="18" hidden="1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74</v>
      </c>
      <c r="B80" s="39" t="s">
        <v>75</v>
      </c>
      <c r="C80" s="37">
        <v>9723.6699000000008</v>
      </c>
      <c r="D80" s="37">
        <v>222.10022000000001</v>
      </c>
      <c r="E80" s="38">
        <f t="shared" si="3"/>
        <v>2.2841192912153465</v>
      </c>
      <c r="F80" s="38">
        <f t="shared" si="4"/>
        <v>-9501.5696800000005</v>
      </c>
    </row>
    <row r="81" spans="1:6" s="6" customFormat="1" ht="18.75" customHeight="1">
      <c r="A81" s="30" t="s">
        <v>86</v>
      </c>
      <c r="B81" s="31" t="s">
        <v>87</v>
      </c>
      <c r="C81" s="32">
        <f>C82</f>
        <v>3735</v>
      </c>
      <c r="D81" s="32">
        <f>D82</f>
        <v>622.5</v>
      </c>
      <c r="E81" s="38">
        <f t="shared" si="3"/>
        <v>16.666666666666664</v>
      </c>
      <c r="F81" s="38">
        <f t="shared" si="4"/>
        <v>-3112.5</v>
      </c>
    </row>
    <row r="82" spans="1:6" ht="19.5" customHeight="1">
      <c r="A82" s="35" t="s">
        <v>88</v>
      </c>
      <c r="B82" s="39" t="s">
        <v>234</v>
      </c>
      <c r="C82" s="37">
        <v>3735</v>
      </c>
      <c r="D82" s="37">
        <v>622.5</v>
      </c>
      <c r="E82" s="38">
        <f t="shared" si="3"/>
        <v>16.666666666666664</v>
      </c>
      <c r="F82" s="38">
        <f t="shared" si="4"/>
        <v>-3112.5</v>
      </c>
    </row>
    <row r="83" spans="1:6" ht="15" hidden="1" customHeight="1">
      <c r="A83" s="35" t="s">
        <v>264</v>
      </c>
      <c r="B83" s="39" t="s">
        <v>265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95</v>
      </c>
      <c r="B89" s="31" t="s">
        <v>96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97</v>
      </c>
      <c r="B90" s="39" t="s">
        <v>98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115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117</v>
      </c>
      <c r="C96" s="239"/>
      <c r="D96" s="240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119</v>
      </c>
      <c r="C98" s="376">
        <f>C56+C72+C77+C84+C89+C95+C66+C81</f>
        <v>17471.358480000003</v>
      </c>
      <c r="D98" s="376">
        <f>D56+D72+D77+D84+D89+D95+D66+D81</f>
        <v>1248.23828</v>
      </c>
      <c r="E98" s="34">
        <f t="shared" si="3"/>
        <v>7.1444832491354155</v>
      </c>
      <c r="F98" s="34">
        <f t="shared" si="4"/>
        <v>-16223.120200000003</v>
      </c>
      <c r="G98" s="293">
        <f>C98-17471.35848</f>
        <v>0</v>
      </c>
    </row>
    <row r="99" spans="1:7" ht="20.25" customHeight="1">
      <c r="D99" s="245"/>
    </row>
    <row r="100" spans="1:7" s="65" customFormat="1" ht="13.5" customHeight="1">
      <c r="A100" s="63" t="s">
        <v>120</v>
      </c>
      <c r="B100" s="63"/>
      <c r="C100" s="119"/>
      <c r="D100" s="64"/>
    </row>
    <row r="101" spans="1:7" s="65" customFormat="1" ht="12.75">
      <c r="A101" s="66" t="s">
        <v>121</v>
      </c>
      <c r="B101" s="66"/>
      <c r="C101" s="134" t="s">
        <v>122</v>
      </c>
      <c r="D101" s="134"/>
    </row>
    <row r="102" spans="1:7" ht="5.25" customHeight="1"/>
    <row r="142" hidden="1"/>
  </sheetData>
  <customSheetViews>
    <customSheetView guid="{37D0E254-14A1-48DF-98B1-097427A51078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4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5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printArea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70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8"/>
    </customSheetView>
    <customSheetView guid="{B30CE22D-C12F-4E12-8BB9-3AAE0A6991CC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zoomScale="70" zoomScaleNormal="100" zoomScaleSheetLayoutView="86" workbookViewId="0">
      <selection activeCell="C48" sqref="C48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40" t="s">
        <v>427</v>
      </c>
      <c r="B1" s="540"/>
      <c r="C1" s="540"/>
      <c r="D1" s="540"/>
      <c r="E1" s="540"/>
      <c r="F1" s="540"/>
    </row>
    <row r="2" spans="1:6">
      <c r="A2" s="540"/>
      <c r="B2" s="540"/>
      <c r="C2" s="540"/>
      <c r="D2" s="540"/>
      <c r="E2" s="540"/>
      <c r="F2" s="540"/>
    </row>
    <row r="3" spans="1:6" ht="63">
      <c r="A3" s="2" t="s">
        <v>1</v>
      </c>
      <c r="B3" s="2" t="s">
        <v>2</v>
      </c>
      <c r="C3" s="72" t="s">
        <v>412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4741.1550000000007</v>
      </c>
      <c r="D4" s="5">
        <f>D5+D12+D14+D17+D20+D7</f>
        <v>482.74286999999998</v>
      </c>
      <c r="E4" s="5">
        <f>SUM(D4/C4*100)</f>
        <v>10.181967685089392</v>
      </c>
      <c r="F4" s="5">
        <f>SUM(D4-C4)</f>
        <v>-4258.4121300000006</v>
      </c>
    </row>
    <row r="5" spans="1:6" s="6" customFormat="1">
      <c r="A5" s="68">
        <v>1010000000</v>
      </c>
      <c r="B5" s="67" t="s">
        <v>6</v>
      </c>
      <c r="C5" s="5">
        <f>C6</f>
        <v>1300.26</v>
      </c>
      <c r="D5" s="5">
        <f>D6</f>
        <v>227.76774</v>
      </c>
      <c r="E5" s="5">
        <f t="shared" ref="E5:E52" si="0">SUM(D5/C5*100)</f>
        <v>17.517091966222139</v>
      </c>
      <c r="F5" s="5">
        <f t="shared" ref="F5:F52" si="1">SUM(D5-C5)</f>
        <v>-1072.49226</v>
      </c>
    </row>
    <row r="6" spans="1:6">
      <c r="A6" s="7">
        <v>1010200001</v>
      </c>
      <c r="B6" s="8" t="s">
        <v>229</v>
      </c>
      <c r="C6" s="9">
        <v>1300.26</v>
      </c>
      <c r="D6" s="10">
        <v>227.76774</v>
      </c>
      <c r="E6" s="9">
        <f t="shared" ref="E6:E11" si="2">SUM(D6/C6*100)</f>
        <v>17.517091966222139</v>
      </c>
      <c r="F6" s="9">
        <f t="shared" si="1"/>
        <v>-1072.49226</v>
      </c>
    </row>
    <row r="7" spans="1:6" ht="31.5">
      <c r="A7" s="3">
        <v>1030000000</v>
      </c>
      <c r="B7" s="13" t="s">
        <v>281</v>
      </c>
      <c r="C7" s="5">
        <f>C8+C10+C9</f>
        <v>665.89499999999998</v>
      </c>
      <c r="D7" s="5">
        <f>D8+D10+D9+D11</f>
        <v>135.65201999999999</v>
      </c>
      <c r="E7" s="9">
        <f t="shared" si="2"/>
        <v>20.371382875678599</v>
      </c>
      <c r="F7" s="9">
        <f t="shared" si="1"/>
        <v>-530.24297999999999</v>
      </c>
    </row>
    <row r="8" spans="1:6">
      <c r="A8" s="7">
        <v>1030223001</v>
      </c>
      <c r="B8" s="8" t="s">
        <v>283</v>
      </c>
      <c r="C8" s="9">
        <v>248.38</v>
      </c>
      <c r="D8" s="10">
        <v>60.083399999999997</v>
      </c>
      <c r="E8" s="9">
        <f t="shared" si="2"/>
        <v>24.190111925275787</v>
      </c>
      <c r="F8" s="9">
        <f t="shared" si="1"/>
        <v>-188.29660000000001</v>
      </c>
    </row>
    <row r="9" spans="1:6">
      <c r="A9" s="7">
        <v>1030224001</v>
      </c>
      <c r="B9" s="8" t="s">
        <v>289</v>
      </c>
      <c r="C9" s="9">
        <v>2.665</v>
      </c>
      <c r="D9" s="10">
        <v>0.40767999999999999</v>
      </c>
      <c r="E9" s="9">
        <f t="shared" si="2"/>
        <v>15.297560975609755</v>
      </c>
      <c r="F9" s="9">
        <f t="shared" si="1"/>
        <v>-2.25732</v>
      </c>
    </row>
    <row r="10" spans="1:6">
      <c r="A10" s="7">
        <v>1030225001</v>
      </c>
      <c r="B10" s="8" t="s">
        <v>282</v>
      </c>
      <c r="C10" s="9">
        <v>414.85</v>
      </c>
      <c r="D10" s="10">
        <v>88.250579999999999</v>
      </c>
      <c r="E10" s="9">
        <f t="shared" si="2"/>
        <v>21.272888996022658</v>
      </c>
      <c r="F10" s="9">
        <f t="shared" si="1"/>
        <v>-326.59942000000001</v>
      </c>
    </row>
    <row r="11" spans="1:6">
      <c r="A11" s="7">
        <v>1030226001</v>
      </c>
      <c r="B11" s="8" t="s">
        <v>292</v>
      </c>
      <c r="C11" s="9">
        <v>0</v>
      </c>
      <c r="D11" s="10">
        <v>-13.089639999999999</v>
      </c>
      <c r="E11" s="9" t="e">
        <f t="shared" si="2"/>
        <v>#DIV/0!</v>
      </c>
      <c r="F11" s="9">
        <f t="shared" si="1"/>
        <v>-13.089639999999999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0.14399999999999999</v>
      </c>
      <c r="E12" s="5">
        <f t="shared" si="0"/>
        <v>0.48</v>
      </c>
      <c r="F12" s="5">
        <f t="shared" si="1"/>
        <v>-29.856000000000002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0.14399999999999999</v>
      </c>
      <c r="E13" s="9">
        <f t="shared" si="0"/>
        <v>0.48</v>
      </c>
      <c r="F13" s="9">
        <f t="shared" si="1"/>
        <v>-29.856000000000002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2735</v>
      </c>
      <c r="D14" s="5">
        <f>D15+D16</f>
        <v>118.87911</v>
      </c>
      <c r="E14" s="5">
        <f t="shared" si="0"/>
        <v>4.3465853747714807</v>
      </c>
      <c r="F14" s="5">
        <f t="shared" si="1"/>
        <v>-2616.1208900000001</v>
      </c>
    </row>
    <row r="15" spans="1:6" s="6" customFormat="1" ht="15.75" customHeight="1">
      <c r="A15" s="7">
        <v>1060100000</v>
      </c>
      <c r="B15" s="11" t="s">
        <v>9</v>
      </c>
      <c r="C15" s="9">
        <v>495</v>
      </c>
      <c r="D15" s="10">
        <v>5.0997899999999996</v>
      </c>
      <c r="E15" s="9">
        <f t="shared" si="0"/>
        <v>1.0302606060606059</v>
      </c>
      <c r="F15" s="9">
        <f>SUM(D15-C15)</f>
        <v>-489.90021000000002</v>
      </c>
    </row>
    <row r="16" spans="1:6" ht="15.75" customHeight="1">
      <c r="A16" s="7">
        <v>1060600000</v>
      </c>
      <c r="B16" s="11" t="s">
        <v>8</v>
      </c>
      <c r="C16" s="9">
        <v>2240</v>
      </c>
      <c r="D16" s="10">
        <v>113.77932</v>
      </c>
      <c r="E16" s="9">
        <f t="shared" si="0"/>
        <v>5.0794339285714285</v>
      </c>
      <c r="F16" s="9">
        <f t="shared" si="1"/>
        <v>-2126.2206799999999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0.3</v>
      </c>
      <c r="E17" s="5">
        <f t="shared" si="0"/>
        <v>3</v>
      </c>
      <c r="F17" s="5">
        <f t="shared" si="1"/>
        <v>-9.6999999999999993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0.3</v>
      </c>
      <c r="E18" s="9">
        <f t="shared" si="0"/>
        <v>3</v>
      </c>
      <c r="F18" s="9">
        <f t="shared" si="1"/>
        <v>-9.6999999999999993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0</v>
      </c>
      <c r="D25" s="5">
        <f>D26+D29+D31+D36+D34</f>
        <v>0</v>
      </c>
      <c r="E25" s="5" t="e">
        <f t="shared" si="0"/>
        <v>#DIV/0!</v>
      </c>
      <c r="F25" s="5">
        <f t="shared" si="1"/>
        <v>0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4741.1550000000007</v>
      </c>
      <c r="D39" s="127">
        <f>SUM(D4,D25)</f>
        <v>482.74286999999998</v>
      </c>
      <c r="E39" s="5">
        <f t="shared" si="0"/>
        <v>10.181967685089392</v>
      </c>
      <c r="F39" s="5">
        <f t="shared" si="1"/>
        <v>-4258.4121300000006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C41+C43+C45+C46+C48+C49+C42+C44+C51+C47</f>
        <v>3124.6615099999999</v>
      </c>
      <c r="D40" s="342">
        <f>D41+D43+D45+D46+D48+D49+D42+D44+D51</f>
        <v>29.666</v>
      </c>
      <c r="E40" s="5">
        <f t="shared" si="0"/>
        <v>0.9494148375770789</v>
      </c>
      <c r="F40" s="5">
        <f t="shared" si="1"/>
        <v>-3094.9955099999997</v>
      </c>
      <c r="G40" s="19"/>
    </row>
    <row r="41" spans="1:7" ht="15.75" customHeight="1">
      <c r="A41" s="16">
        <v>2021000000</v>
      </c>
      <c r="B41" s="17" t="s">
        <v>21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2055.51044</v>
      </c>
      <c r="D43" s="10">
        <v>0</v>
      </c>
      <c r="E43" s="9">
        <f t="shared" si="0"/>
        <v>0</v>
      </c>
      <c r="F43" s="9">
        <f t="shared" si="1"/>
        <v>-2055.51044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181.68199999999999</v>
      </c>
      <c r="D45" s="251">
        <v>29.666</v>
      </c>
      <c r="E45" s="9">
        <f t="shared" si="0"/>
        <v>16.328530069021699</v>
      </c>
      <c r="F45" s="9">
        <f t="shared" si="1"/>
        <v>-152.01599999999999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357</v>
      </c>
      <c r="C47" s="12">
        <v>0</v>
      </c>
      <c r="D47" s="252"/>
      <c r="E47" s="9"/>
      <c r="F47" s="9"/>
    </row>
    <row r="48" spans="1:7" ht="15" customHeight="1">
      <c r="A48" s="16">
        <v>2020900000</v>
      </c>
      <c r="B48" s="18" t="s">
        <v>25</v>
      </c>
      <c r="C48" s="12">
        <v>0</v>
      </c>
      <c r="D48" s="252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26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9.5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352</v>
      </c>
      <c r="C51" s="12">
        <v>887.46906999999999</v>
      </c>
      <c r="D51" s="10">
        <v>0</v>
      </c>
      <c r="E51" s="9">
        <f t="shared" si="0"/>
        <v>0</v>
      </c>
      <c r="F51" s="9">
        <f t="shared" si="1"/>
        <v>-887.46906999999999</v>
      </c>
    </row>
    <row r="52" spans="1:7" s="6" customFormat="1" ht="15.75" customHeight="1">
      <c r="A52" s="3"/>
      <c r="B52" s="4" t="s">
        <v>28</v>
      </c>
      <c r="C52" s="372">
        <f>C39+C40</f>
        <v>7865.8165100000006</v>
      </c>
      <c r="D52" s="373">
        <f>D39+D40</f>
        <v>512.40886999999998</v>
      </c>
      <c r="E52" s="5">
        <f t="shared" si="0"/>
        <v>6.5143760898638092</v>
      </c>
      <c r="F52" s="5">
        <f t="shared" si="1"/>
        <v>-7353.4076400000004</v>
      </c>
      <c r="G52" s="94"/>
    </row>
    <row r="53" spans="1:7" s="6" customFormat="1">
      <c r="A53" s="3"/>
      <c r="B53" s="21" t="s">
        <v>322</v>
      </c>
      <c r="C53" s="93">
        <f>C52-C103</f>
        <v>-775.19563000000016</v>
      </c>
      <c r="D53" s="93">
        <f>D52-D103</f>
        <v>178.01967999999999</v>
      </c>
      <c r="E53" s="22"/>
      <c r="F53" s="22"/>
    </row>
    <row r="54" spans="1:7">
      <c r="A54" s="23"/>
      <c r="B54" s="24"/>
      <c r="C54" s="250"/>
      <c r="D54" s="250"/>
      <c r="E54" s="26"/>
      <c r="F54" s="92"/>
    </row>
    <row r="55" spans="1:7" ht="42.75" customHeight="1">
      <c r="A55" s="28" t="s">
        <v>1</v>
      </c>
      <c r="B55" s="28" t="s">
        <v>29</v>
      </c>
      <c r="C55" s="243" t="s">
        <v>412</v>
      </c>
      <c r="D55" s="244" t="s">
        <v>418</v>
      </c>
      <c r="E55" s="72" t="s">
        <v>3</v>
      </c>
      <c r="F55" s="74" t="s">
        <v>4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30</v>
      </c>
      <c r="B57" s="31" t="s">
        <v>31</v>
      </c>
      <c r="C57" s="246">
        <f>C58+C59+C60+C61+C62+C64+C63</f>
        <v>2124.7999999999997</v>
      </c>
      <c r="D57" s="32">
        <f>D58+D59+D60+D61+D62+D64+D63</f>
        <v>211.98264</v>
      </c>
      <c r="E57" s="34">
        <f>SUM(D57/C57*100)</f>
        <v>9.9765926204819291</v>
      </c>
      <c r="F57" s="34">
        <f>SUM(D57-C57)</f>
        <v>-1912.8173599999998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>
      <c r="A59" s="35" t="s">
        <v>34</v>
      </c>
      <c r="B59" s="39" t="s">
        <v>35</v>
      </c>
      <c r="C59" s="37">
        <v>2115.3229999999999</v>
      </c>
      <c r="D59" s="37">
        <v>211.98264</v>
      </c>
      <c r="E59" s="38">
        <f t="shared" ref="E59:E103" si="3">SUM(D59/C59*100)</f>
        <v>10.021289420102747</v>
      </c>
      <c r="F59" s="38">
        <f t="shared" ref="F59:F103" si="4">SUM(D59-C59)</f>
        <v>-1903.3403599999999</v>
      </c>
    </row>
    <row r="60" spans="1:7" ht="0.7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4.4770000000000003</v>
      </c>
      <c r="D64" s="37">
        <v>0</v>
      </c>
      <c r="E64" s="38">
        <f t="shared" si="3"/>
        <v>0</v>
      </c>
      <c r="F64" s="38">
        <f t="shared" si="4"/>
        <v>-4.4770000000000003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32">
        <f>D66</f>
        <v>18.85744</v>
      </c>
      <c r="E65" s="34">
        <f t="shared" si="3"/>
        <v>10.482645142641141</v>
      </c>
      <c r="F65" s="34">
        <f t="shared" si="4"/>
        <v>-161.03456</v>
      </c>
    </row>
    <row r="66" spans="1:7">
      <c r="A66" s="43" t="s">
        <v>48</v>
      </c>
      <c r="B66" s="44" t="s">
        <v>49</v>
      </c>
      <c r="C66" s="37">
        <v>179.892</v>
      </c>
      <c r="D66" s="37">
        <v>18.85744</v>
      </c>
      <c r="E66" s="38">
        <f t="shared" si="3"/>
        <v>10.482645142641141</v>
      </c>
      <c r="F66" s="38">
        <f t="shared" si="4"/>
        <v>-161.03456</v>
      </c>
    </row>
    <row r="67" spans="1:7" s="6" customFormat="1" ht="15" customHeight="1">
      <c r="A67" s="30" t="s">
        <v>50</v>
      </c>
      <c r="B67" s="31" t="s">
        <v>51</v>
      </c>
      <c r="C67" s="32">
        <f>C70+C71+C72</f>
        <v>9</v>
      </c>
      <c r="D67" s="32">
        <f>D70+D71</f>
        <v>0</v>
      </c>
      <c r="E67" s="34">
        <f t="shared" si="3"/>
        <v>0</v>
      </c>
      <c r="F67" s="34">
        <f t="shared" si="4"/>
        <v>-9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5</v>
      </c>
      <c r="D71" s="37">
        <v>0</v>
      </c>
      <c r="E71" s="34">
        <f t="shared" si="3"/>
        <v>0</v>
      </c>
      <c r="F71" s="34">
        <f t="shared" si="4"/>
        <v>-5</v>
      </c>
    </row>
    <row r="72" spans="1:7" ht="15.75" customHeight="1">
      <c r="A72" s="46" t="s">
        <v>358</v>
      </c>
      <c r="B72" s="47" t="s">
        <v>439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58</v>
      </c>
      <c r="B73" s="31" t="s">
        <v>59</v>
      </c>
      <c r="C73" s="48">
        <f>SUM(C74:C77)</f>
        <v>4065.0916399999996</v>
      </c>
      <c r="D73" s="48">
        <f>SUM(D74:D77)</f>
        <v>51.238860000000003</v>
      </c>
      <c r="E73" s="34">
        <f t="shared" si="3"/>
        <v>1.2604601454937927</v>
      </c>
      <c r="F73" s="34">
        <f t="shared" si="4"/>
        <v>-4013.8527799999997</v>
      </c>
    </row>
    <row r="74" spans="1:7" ht="15" customHeight="1">
      <c r="A74" s="35" t="s">
        <v>60</v>
      </c>
      <c r="B74" s="39" t="s">
        <v>61</v>
      </c>
      <c r="C74" s="49">
        <v>4.0214999999999996</v>
      </c>
      <c r="D74" s="37">
        <v>0</v>
      </c>
      <c r="E74" s="38">
        <f t="shared" si="3"/>
        <v>0</v>
      </c>
      <c r="F74" s="38">
        <f t="shared" si="4"/>
        <v>-4.0214999999999996</v>
      </c>
    </row>
    <row r="75" spans="1:7" s="6" customFormat="1" ht="15" customHeight="1">
      <c r="A75" s="35" t="s">
        <v>62</v>
      </c>
      <c r="B75" s="39" t="s">
        <v>63</v>
      </c>
      <c r="C75" s="49">
        <v>268</v>
      </c>
      <c r="D75" s="37">
        <v>39.25</v>
      </c>
      <c r="E75" s="38">
        <f t="shared" si="3"/>
        <v>14.645522388059701</v>
      </c>
      <c r="F75" s="38">
        <f t="shared" si="4"/>
        <v>-228.75</v>
      </c>
      <c r="G75" s="50"/>
    </row>
    <row r="76" spans="1:7">
      <c r="A76" s="35" t="s">
        <v>64</v>
      </c>
      <c r="B76" s="39" t="s">
        <v>65</v>
      </c>
      <c r="C76" s="49">
        <v>3776.0701399999998</v>
      </c>
      <c r="D76" s="37">
        <v>11.988860000000001</v>
      </c>
      <c r="E76" s="38">
        <f t="shared" si="3"/>
        <v>0.31749569143331646</v>
      </c>
      <c r="F76" s="38">
        <f t="shared" si="4"/>
        <v>-3764.0812799999999</v>
      </c>
    </row>
    <row r="77" spans="1:7">
      <c r="A77" s="35" t="s">
        <v>66</v>
      </c>
      <c r="B77" s="39" t="s">
        <v>67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68</v>
      </c>
      <c r="B78" s="31" t="s">
        <v>69</v>
      </c>
      <c r="C78" s="32">
        <f>SUM(C79:C82)</f>
        <v>820.52850000000001</v>
      </c>
      <c r="D78" s="32">
        <f>SUM(D79:D82)</f>
        <v>52.310250000000003</v>
      </c>
      <c r="E78" s="34">
        <f t="shared" si="3"/>
        <v>6.3751898928556416</v>
      </c>
      <c r="F78" s="34">
        <f t="shared" si="4"/>
        <v>-768.21825000000001</v>
      </c>
    </row>
    <row r="79" spans="1:7" ht="17.25" hidden="1" customHeight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74</v>
      </c>
      <c r="B81" s="39" t="s">
        <v>75</v>
      </c>
      <c r="C81" s="37">
        <v>820.52850000000001</v>
      </c>
      <c r="D81" s="37">
        <v>52.310250000000003</v>
      </c>
      <c r="E81" s="38">
        <f t="shared" si="3"/>
        <v>6.3751898928556416</v>
      </c>
      <c r="F81" s="38">
        <f t="shared" si="4"/>
        <v>-768.21825000000001</v>
      </c>
    </row>
    <row r="82" spans="1:6" hidden="1">
      <c r="A82" s="35" t="s">
        <v>264</v>
      </c>
      <c r="B82" s="39" t="s">
        <v>265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86</v>
      </c>
      <c r="B83" s="31" t="s">
        <v>87</v>
      </c>
      <c r="C83" s="32">
        <f>C84+C85</f>
        <v>1411.7</v>
      </c>
      <c r="D83" s="32">
        <f>D84+D85</f>
        <v>0</v>
      </c>
      <c r="E83" s="34">
        <f t="shared" si="3"/>
        <v>0</v>
      </c>
      <c r="F83" s="34">
        <f t="shared" si="4"/>
        <v>-1411.7</v>
      </c>
    </row>
    <row r="84" spans="1:6" ht="18" customHeight="1">
      <c r="A84" s="35" t="s">
        <v>88</v>
      </c>
      <c r="B84" s="39" t="s">
        <v>234</v>
      </c>
      <c r="C84" s="37">
        <v>1411.7</v>
      </c>
      <c r="D84" s="37">
        <v>0</v>
      </c>
      <c r="E84" s="38">
        <f t="shared" si="3"/>
        <v>0</v>
      </c>
      <c r="F84" s="38">
        <f t="shared" si="4"/>
        <v>-1411.7</v>
      </c>
    </row>
    <row r="85" spans="1:6" hidden="1">
      <c r="A85" s="35" t="s">
        <v>273</v>
      </c>
      <c r="B85" s="39" t="s">
        <v>274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89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90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91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92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93</v>
      </c>
      <c r="B90" s="39" t="s">
        <v>94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89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90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96</v>
      </c>
      <c r="C93" s="32">
        <f>C94+C95+C96+C97+C98</f>
        <v>30</v>
      </c>
      <c r="D93" s="32">
        <f>D94+D95+D96+D97+D98</f>
        <v>0</v>
      </c>
      <c r="E93" s="38">
        <f t="shared" si="3"/>
        <v>0</v>
      </c>
      <c r="F93" s="22">
        <f>F94+F95+F96+F97+F98</f>
        <v>-30</v>
      </c>
    </row>
    <row r="94" spans="1:6" ht="18.75" customHeight="1">
      <c r="A94" s="53">
        <v>1101</v>
      </c>
      <c r="B94" s="54" t="s">
        <v>98</v>
      </c>
      <c r="C94" s="37">
        <v>30</v>
      </c>
      <c r="D94" s="37">
        <v>0</v>
      </c>
      <c r="E94" s="38">
        <f t="shared" si="3"/>
        <v>0</v>
      </c>
      <c r="F94" s="38">
        <f>SUM(D94-C94)</f>
        <v>-30</v>
      </c>
    </row>
    <row r="95" spans="1:6" ht="0.75" hidden="1" customHeight="1">
      <c r="A95" s="35" t="s">
        <v>93</v>
      </c>
      <c r="B95" s="39" t="s">
        <v>94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101</v>
      </c>
      <c r="B96" s="39" t="s">
        <v>102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103</v>
      </c>
      <c r="B97" s="39" t="s">
        <v>104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105</v>
      </c>
      <c r="B98" s="39" t="s">
        <v>106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115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116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117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118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119</v>
      </c>
      <c r="C103" s="376">
        <f>C57+C65+C67+C73+C78+C83+C86+C93+C99+C91</f>
        <v>8641.0121400000007</v>
      </c>
      <c r="D103" s="376">
        <f>D57+D65+D67+D73+D78+D83+D86+D93+D99+D91</f>
        <v>334.38918999999999</v>
      </c>
      <c r="E103" s="34">
        <f t="shared" si="3"/>
        <v>3.8697919246297916</v>
      </c>
      <c r="F103" s="34">
        <f t="shared" si="4"/>
        <v>-8306.6229500000009</v>
      </c>
    </row>
    <row r="104" spans="1:6">
      <c r="D104" s="245"/>
    </row>
    <row r="105" spans="1:6" s="65" customFormat="1" ht="12.75">
      <c r="A105" s="63" t="s">
        <v>120</v>
      </c>
      <c r="B105" s="63"/>
      <c r="C105" s="119"/>
      <c r="D105" s="64"/>
    </row>
    <row r="106" spans="1:6" s="65" customFormat="1" ht="18.75" customHeight="1">
      <c r="A106" s="66" t="s">
        <v>121</v>
      </c>
      <c r="B106" s="66"/>
      <c r="C106" s="65" t="s">
        <v>122</v>
      </c>
    </row>
    <row r="143" hidden="1"/>
  </sheetData>
  <customSheetViews>
    <customSheetView guid="{37D0E254-14A1-48DF-98B1-097427A51078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3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4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5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61528DAC-5C4C-48F4-ADE2-8A724B05A086}" scale="70" showPageBreaks="1" hiddenRows="1" view="pageBreakPreview" topLeftCell="A16">
      <selection activeCell="C52" sqref="C5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8</vt:i4>
      </vt:variant>
    </vt:vector>
  </HeadingPairs>
  <TitlesOfParts>
    <vt:vector size="29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2019-01-16T11:37:56Z</cp:lastPrinted>
  <dcterms:created xsi:type="dcterms:W3CDTF">1996-10-08T23:32:33Z</dcterms:created>
  <dcterms:modified xsi:type="dcterms:W3CDTF">2019-05-10T10:00:20Z</dcterms:modified>
</cp:coreProperties>
</file>