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activeTab="18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r:id="rId21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Иль!$A$1:$F$104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Мор!$A$1:$F$100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Юнг!$A$1:$F$99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Але!$19:$24,Але!$28:$36,Але!$46:$46,Але!$53:$53,Але!$55:$57,Але!$63:$64,Але!$69:$69,Але!$71:$71,Але!$73:$74,Але!$78:$82,Але!$85:$92,Але!$141:$141</definedName>
    <definedName name="Z_1718F1EE_9F48_4DBE_9531_3B70F9C4A5DD_.wvu.Rows" localSheetId="5" hidden="1">Иль!$19:$24,Иль!$30:$39,Иль!$45:$45,Иль!$47:$50,Иль!$58:$58,Иль!$60:$62,Иль!$68:$69,Иль!$78:$79,Иль!$81:$81,Иль!$86:$90,Иль!$93:$100,Иль!$143:$143</definedName>
    <definedName name="Z_1718F1EE_9F48_4DBE_9531_3B70F9C4A5DD_.wvu.Rows" localSheetId="6" hidden="1">Кад!$19:$24,Кад!$29:$35,Кад!$38:$38,Кад!$42:$42,Кад!$44:$44,Кад!$46:$49,Кад!$56:$56,Кад!$58:$60,Кад!$66:$67,Кад!$76:$77,Кад!$81:$85,Кад!$88:$95,Кад!$141:$141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Мор!$17:$24,Мор!$27:$27,Мор!$31:$35,Мор!$37:$37,Мор!$44:$44,Мор!$46:$47,Мор!$49:$50,Мор!$57:$57,Мор!$59:$61,Мор!$64:$65,Мор!$67:$68,Мор!$77:$78,Мор!$82:$87,Мор!$90:$96,Мор!$141:$141</definedName>
    <definedName name="Z_1718F1EE_9F48_4DBE_9531_3B70F9C4A5DD_.wvu.Rows" localSheetId="8" hidden="1">Мос!$19:$24,Мос!$29:$35,Мос!$44:$44,Мос!$46:$49,Мос!$57:$57,Мос!$59:$61,Мос!$67:$68,Мос!$77:$78,Мос!$80:$80,Мос!$83:$90,Мос!$93:$100,Мос!$141:$141</definedName>
    <definedName name="Z_1718F1EE_9F48_4DBE_9531_3B70F9C4A5DD_.wvu.Rows" localSheetId="9" hidden="1">Ори!$19:$24,Ори!$31:$35,Ори!$44:$44,Ори!$46:$46,Ори!$48:$50,Ори!$57:$57,Ори!$59:$61,Ори!$67:$68,Ори!$77:$78,Ори!$80:$80,Ори!$83:$87,Ори!$90:$97,Ори!$141:$141</definedName>
    <definedName name="Z_1718F1EE_9F48_4DBE_9531_3B70F9C4A5DD_.wvu.Rows" localSheetId="2" hidden="1">район!$17:$18,район!$20:$20,район!$25:$25,район!$27:$31,район!$35:$35,район!$38:$38,район!$50:$51,район!$75:$75,район!$82:$82,район!$99:$99,район!$105:$105,район!$132:$134,район!$137:$138</definedName>
    <definedName name="Z_1718F1EE_9F48_4DBE_9531_3B70F9C4A5DD_.wvu.Rows" localSheetId="1" hidden="1">Справка!$33:$33</definedName>
    <definedName name="Z_1718F1EE_9F48_4DBE_9531_3B70F9C4A5DD_.wvu.Rows" localSheetId="4" hidden="1">Сун!$19:$24,Сун!$34:$39,Сун!$43:$43,Сун!$45:$45,Сун!$47:$47,Сун!$49:$51,Сун!$58:$58,Сун!$60:$62,Сун!$68:$69,Сун!$78:$79,Сун!$81:$81,Сун!$84:$89,Сун!$92:$99,Сун!$141:$141</definedName>
    <definedName name="Z_1718F1EE_9F48_4DBE_9531_3B70F9C4A5DD_.wvu.Rows" localSheetId="10" hidden="1">Сят!$19:$24,Сят!$31:$35,Сят!$38:$38,Сят!$45:$48,Сят!$57:$57,Сят!$59:$61,Сят!$67:$68,Сят!$77:$78,Сят!$82:$86,Сят!$89:$96,Сят!$142:$142</definedName>
    <definedName name="Z_1718F1EE_9F48_4DBE_9531_3B70F9C4A5DD_.wvu.Rows" localSheetId="11" hidden="1">Тор!$19:$24,Тор!$32:$36,Тор!$39:$39,Тор!$46:$47,Тор!$50:$50,Тор!$57:$57,Тор!$59:$61,Тор!$67:$68,Тор!$74:$74,Тор!$78:$79,Тор!$83:$95,Тор!$142:$142</definedName>
    <definedName name="Z_1718F1EE_9F48_4DBE_9531_3B70F9C4A5DD_.wvu.Rows" localSheetId="12" hidden="1">Хор!$19:$24,Хор!$28:$36,Хор!$40:$40,Хор!$44:$44,Хор!$46:$48,Хор!$55:$55,Хор!$57:$59,Хор!$65:$66,Хор!$71:$71,Хор!$75:$76,Хор!$80:$84,Хор!$87:$94,Хор!$141:$141</definedName>
    <definedName name="Z_1718F1EE_9F48_4DBE_9531_3B70F9C4A5DD_.wvu.Rows" localSheetId="13" hidden="1">Чум!$19:$24,Чум!$31:$39,Чум!$46:$49,Чум!$57:$57,Чум!$59:$61,Чум!$67:$68,Чум!$77:$78,Чум!$82:$86,Чум!$89:$96,Чум!$141:$141</definedName>
    <definedName name="Z_1718F1EE_9F48_4DBE_9531_3B70F9C4A5DD_.wvu.Rows" localSheetId="14" hidden="1">Шать!$19:$19,Шать!$22:$25,Шать!$46:$49,Шать!$57:$57,Шать!$59:$61,Шать!$67:$68,Шать!$77:$78,Шать!$82:$86,Шать!$89:$96,Шать!$141:$141</definedName>
    <definedName name="Z_1718F1EE_9F48_4DBE_9531_3B70F9C4A5DD_.wvu.Rows" localSheetId="15" hidden="1">Юнг!$19:$24,Юнг!$31:$35,Юнг!$38:$38,Юнг!$45:$47,Юнг!$49:$49,Юнг!$56:$56,Юнг!$58:$60,Юнг!$66:$68,Юнг!$76:$77,Юнг!$81:$85,Юнг!$88:$95,Юнг!$141:$141</definedName>
    <definedName name="Z_1718F1EE_9F48_4DBE_9531_3B70F9C4A5DD_.wvu.Rows" localSheetId="16" hidden="1">Юсь!$19:$24,Юсь!$31:$33,Юсь!$36:$36,Юсь!$44:$50,Юсь!$58:$58,Юсь!$60:$62,Юсь!$68:$69,Юсь!$78:$79,Юсь!$83:$87,Юсь!$90:$97,Юсь!$141:$141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Яро!$19:$24,Яро!$28:$33,Яро!$43:$44,Яро!$46:$47,Яро!$54:$54,Яро!$56:$57,Яро!$64:$65,Яро!$74:$75,Яро!$79:$83,Яро!$86:$93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Иль!$A$1:$F$104</definedName>
    <definedName name="Z_3DCB9AAA_F09C_4EA6_B992_F93E466D374A_.wvu.PrintArea" localSheetId="0" hidden="1">Консол!$A$1:$K$50</definedName>
    <definedName name="Z_3DCB9AAA_F09C_4EA6_B992_F93E466D374A_.wvu.PrintArea" localSheetId="7" hidden="1">Мор!$A$1:$F$100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Тор!$A$1:$F$101</definedName>
    <definedName name="Z_3DCB9AAA_F09C_4EA6_B992_F93E466D374A_.wvu.PrintArea" localSheetId="15" hidden="1">Юнг!$A$1:$F$99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Але!$19:$24,Але!$44:$44,Але!$46:$46,Але!$53:$53,Але!$55:$56,Але!$63:$64,Але!$73:$74,Але!$78:$92</definedName>
    <definedName name="Z_3DCB9AAA_F09C_4EA6_B992_F93E466D374A_.wvu.Rows" localSheetId="5" hidden="1">Иль!$19:$24,Иль!$30:$31,Иль!$33:$33,Иль!$45:$45,Иль!$50:$50,Иль!$60:$61,Иль!$68:$69,Иль!$78:$79,Иль!$81:$81,Иль!$83:$90,Иль!$93:$97</definedName>
    <definedName name="Z_3DCB9AAA_F09C_4EA6_B992_F93E466D374A_.wvu.Rows" localSheetId="6" hidden="1">Кад!$19:$24,Кад!$44:$44,Кад!$56:$56,Кад!$58:$59,Кад!$66:$67,Кад!$82:$84,Кад!$88:$95</definedName>
    <definedName name="Z_3DCB9AAA_F09C_4EA6_B992_F93E466D374A_.wvu.Rows" localSheetId="0" hidden="1">Консол!$22:$22,Консол!$43:$45,Консол!$82:$84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Мор!$21:$21,Мор!$23:$23,Мор!$37:$37,Мор!$44:$44,Мор!$47:$47,Мор!$49:$50,Мор!$57:$57,Мор!$59:$60,Мор!$67:$68,Мор!$82:$87,Мор!$90:$96</definedName>
    <definedName name="Z_3DCB9AAA_F09C_4EA6_B992_F93E466D374A_.wvu.Rows" localSheetId="8" hidden="1">Мос!$19:$24,Мос!$44:$44,Мос!$57:$57,Мос!$59:$60,Мос!$67:$68,Мос!$80:$80,Мос!$82:$88,Мос!$93:$98</definedName>
    <definedName name="Z_3DCB9AAA_F09C_4EA6_B992_F93E466D374A_.wvu.Rows" localSheetId="9" hidden="1">Ори!$19:$24,Ори!$32:$32,Ори!$44:$44,Ори!$48:$50,Ори!$57:$57,Ори!$59:$60,Ори!$67:$68,Ори!$77:$78,Ори!$80:$80,Ори!$82:$86,Ори!$90:$97</definedName>
    <definedName name="Z_3DCB9AAA_F09C_4EA6_B992_F93E466D374A_.wvu.Rows" localSheetId="2" hidden="1">район!$17:$18,район!$20:$20,район!$28:$30,район!$50:$51,район!$75:$75,район!$82:$82,район!$99:$99,район!$105:$105,район!$132:$134</definedName>
    <definedName name="Z_3DCB9AAA_F09C_4EA6_B992_F93E466D374A_.wvu.Rows" localSheetId="1" hidden="1">Справка!$33:$33</definedName>
    <definedName name="Z_3DCB9AAA_F09C_4EA6_B992_F93E466D374A_.wvu.Rows" localSheetId="4" hidden="1">Сун!$19:$24,Сун!$49:$51,Сун!$58:$58,Сун!$60:$61,Сун!$68:$69,Сун!$78:$79,Сун!$81:$84,Сун!$87:$88,Сун!$92:$96</definedName>
    <definedName name="Z_3DCB9AAA_F09C_4EA6_B992_F93E466D374A_.wvu.Rows" localSheetId="10" hidden="1">Сят!$19:$19,Сят!$45:$47,Сят!$57:$57,Сят!$59:$60,Сят!$67:$68,Сят!$82:$85,Сят!$89:$96</definedName>
    <definedName name="Z_3DCB9AAA_F09C_4EA6_B992_F93E466D374A_.wvu.Rows" localSheetId="11" hidden="1">Тор!$19:$19,Тор!$50:$50,Тор!$57:$57,Тор!$59:$60,Тор!$67:$68,Тор!$74:$74,Тор!$78:$79,Тор!$82:$93</definedName>
    <definedName name="Z_3DCB9AAA_F09C_4EA6_B992_F93E466D374A_.wvu.Rows" localSheetId="12" hidden="1">Хор!$19:$24,Хор!$32:$32,Хор!$40:$40,Хор!$44:$44,Хор!$55:$55,Хор!$57:$58,Хор!$65:$66,Хор!$80:$84,Хор!$87:$94</definedName>
    <definedName name="Z_3DCB9AAA_F09C_4EA6_B992_F93E466D374A_.wvu.Rows" localSheetId="13" hidden="1">Чум!$19:$19,Чум!$21:$21,Чум!$23:$24,Чум!$47:$49,Чум!$57:$57,Чум!$59:$60,Чум!$67:$68,Чум!$82:$86,Чум!$89:$96</definedName>
    <definedName name="Z_3DCB9AAA_F09C_4EA6_B992_F93E466D374A_.wvu.Rows" localSheetId="14" hidden="1">Шать!$19:$24,Шать!$47:$49,Шать!$57:$57,Шать!$59:$60,Шать!$67:$68,Шать!$77:$78,Шать!$82:$86,Шать!$89:$96</definedName>
    <definedName name="Z_3DCB9AAA_F09C_4EA6_B992_F93E466D374A_.wvu.Rows" localSheetId="15" hidden="1">Юнг!$19:$24,Юнг!$32:$32,Юнг!$46:$46,Юнг!$49:$49,Юнг!$56:$56,Юнг!$58:$59,Юнг!$66:$67,Юнг!$81:$85,Юнг!$88:$95</definedName>
    <definedName name="Z_3DCB9AAA_F09C_4EA6_B992_F93E466D374A_.wvu.Rows" localSheetId="16" hidden="1">Юсь!$20:$24,Юсь!$40:$40,Юсь!$44:$49,Юсь!$58:$58,Юсь!$60:$61,Юсь!$68:$69,Юсь!$78:$79,Юсь!$82:$87,Юсь!$90:$97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Яро!$19:$24,Яро!$29:$30,Яро!$32:$32,Яро!$43:$43,Яро!$54:$54,Яро!$56:$57,Яро!$64:$65,Яро!$74:$75,Яро!$79:$84,Яро!$86:$93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Иль!$A$1:$F$104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Мор!$A$1:$F$100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Юнг!$A$1:$F$99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Але!$19:$24,Але!$31:$33,Але!$36:$36,Але!$44:$44,Але!$46:$46,Але!$53:$53,Але!$55:$57,Але!$63:$64,Але!$73:$74,Але!$78:$82,Але!$85:$92</definedName>
    <definedName name="Z_42584DC0_1D41_4C93_9B38_C388E7B8DAC4_.wvu.Rows" localSheetId="5" hidden="1">Иль!$19:$24,Иль!$30:$39,Иль!$45:$45,Иль!$47:$50,Иль!$58:$58,Иль!$60:$62,Иль!$68:$69,Иль!$78:$79,Иль!$81:$81,Иль!$86:$90,Иль!$93:$100</definedName>
    <definedName name="Z_42584DC0_1D41_4C93_9B38_C388E7B8DAC4_.wvu.Rows" localSheetId="6" hidden="1">Кад!$19:$24,Кад!$31:$35,Кад!$38:$38,Кад!$44:$44,Кад!$46:$46,Кад!$48:$49,Кад!$56:$56,Кад!$58:$60,Кад!$66:$67,Кад!$76:$77,Кад!$81:$85,Кад!$88:$95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Мор!$17:$24,Мор!$37:$37,Мор!$44:$44,Мор!$46:$47,Мор!$49:$50,Мор!$57:$57,Мор!$59:$60,Мор!$64:$65,Мор!$67:$68,Мор!$77:$78,Мор!$82:$87,Мор!$90:$96</definedName>
    <definedName name="Z_42584DC0_1D41_4C93_9B38_C388E7B8DAC4_.wvu.Rows" localSheetId="8" hidden="1">Мос!$19:$24,Мос!$29:$35,Мос!$44:$44,Мос!$46:$49,Мос!$57:$57,Мос!$59:$60,Мос!$67:$68,Мос!$77:$78,Мос!$80:$80,Мос!$83:$90,Мос!$93:$100</definedName>
    <definedName name="Z_42584DC0_1D41_4C93_9B38_C388E7B8DAC4_.wvu.Rows" localSheetId="9" hidden="1">Ори!$19:$24,Ори!$31:$35,Ори!$38:$38,Ори!$44:$44,Ори!$46:$46,Ори!$48:$50,Ори!$57:$57,Ори!$59:$61,Ори!$67:$68,Ори!$77:$78,Ори!$80:$80,Ори!$83:$87,Ори!$90:$97</definedName>
    <definedName name="Z_42584DC0_1D41_4C93_9B38_C388E7B8DAC4_.wvu.Rows" localSheetId="2" hidden="1">район!$17:$18,район!$20:$20,район!$25:$25,район!$27:$31,район!$35:$35,район!$38:$38,район!$46:$46,район!$50:$51,район!$62:$62,район!$67:$67,район!$69:$71,район!$75:$75,район!$82:$82,район!$93:$93,район!$99:$99,район!$102:$102,район!$105:$105,район!$112:$112,район!$132:$134,район!$137:$138</definedName>
    <definedName name="Z_42584DC0_1D41_4C93_9B38_C388E7B8DAC4_.wvu.Rows" localSheetId="1" hidden="1">Справка!$33:$33</definedName>
    <definedName name="Z_42584DC0_1D41_4C93_9B38_C388E7B8DAC4_.wvu.Rows" localSheetId="4" hidden="1">Сун!$19:$24,Сун!$34:$39,Сун!$49:$51,Сун!$58:$58,Сун!$60:$63,Сун!$68:$69,Сун!$78:$79,Сун!$81:$81,Сун!$84:$84,Сун!$86:$88,Сун!$92:$99</definedName>
    <definedName name="Z_42584DC0_1D41_4C93_9B38_C388E7B8DAC4_.wvu.Rows" localSheetId="10" hidden="1">Сят!$19:$24,Сят!$31:$35,Сят!$45:$48,Сят!$57:$57,Сят!$59:$60,Сят!$67:$68,Сят!$77:$78,Сят!$82:$86,Сят!$89:$96</definedName>
    <definedName name="Z_42584DC0_1D41_4C93_9B38_C388E7B8DAC4_.wvu.Rows" localSheetId="11" hidden="1">Тор!$19:$24,Тор!$32:$36,Тор!$46:$47,Тор!$50:$50,Тор!$57:$57,Тор!$59:$60,Тор!$67:$68,Тор!$74:$74,Тор!$78:$79,Тор!$83:$95</definedName>
    <definedName name="Z_42584DC0_1D41_4C93_9B38_C388E7B8DAC4_.wvu.Rows" localSheetId="12" hidden="1">Хор!$19:$24,Хор!$28:$36,Хор!$40:$40,Хор!$44:$44,Хор!$46:$48,Хор!$55:$55,Хор!$57:$59,Хор!$65:$66,Хор!$71:$71,Хор!$75:$76,Хор!$80:$84,Хор!$87:$94</definedName>
    <definedName name="Z_42584DC0_1D41_4C93_9B38_C388E7B8DAC4_.wvu.Rows" localSheetId="13" hidden="1">Чум!$19:$24,Чум!$31:$36,Чум!$47:$49,Чум!$57:$57,Чум!$59:$61,Чум!$67:$68,Чум!$77:$78,Чум!$82:$86,Чум!$89:$96</definedName>
    <definedName name="Z_42584DC0_1D41_4C93_9B38_C388E7B8DAC4_.wvu.Rows" localSheetId="14" hidden="1">Шать!$19:$24,Шать!$32:$33,Шать!$35:$35,Шать!$38:$38,Шать!$46:$49,Шать!$57:$57,Шать!$59:$61,Шать!$67:$68,Шать!$77:$78,Шать!$82:$86,Шать!$89:$96</definedName>
    <definedName name="Z_42584DC0_1D41_4C93_9B38_C388E7B8DAC4_.wvu.Rows" localSheetId="15" hidden="1">Юнг!$19:$24,Юнг!$31:$38,Юнг!$45:$46,Юнг!$49:$49,Юнг!$56:$56,Юнг!$58:$60,Юнг!$66:$68,Юнг!$76:$77,Юнг!$81:$85,Юнг!$88:$95</definedName>
    <definedName name="Z_42584DC0_1D41_4C93_9B38_C388E7B8DAC4_.wvu.Rows" localSheetId="16" hidden="1">Юсь!$19:$24,Юсь!$31:$33,Юсь!$36:$36,Юсь!$40:$40,Юсь!$44:$49,Юсь!$58:$58,Юсь!$60:$62,Юсь!$68:$69,Юсь!$78:$79,Юсь!$83:$87,Юсь!$90:$97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Яро!$19:$24,Яро!$28:$36,Яро!$43:$44,Яро!$46:$47,Яро!$54:$54,Яро!$56:$58,Яро!$64:$65,Яро!$74:$75,Яро!$79:$83,Яро!$86:$93</definedName>
    <definedName name="Z_487FB2A4_0730_401E_81DB_8304F8599D85_.wvu.Cols" localSheetId="1" hidden="1">Справка!$AV:$AX,Справка!$BB:$BD,Справка!$BH:$BM,Справка!$BT:$BY,Справка!$CX:$DF</definedName>
    <definedName name="Z_487FB2A4_0730_401E_81DB_8304F8599D85_.wvu.PrintArea" localSheetId="5" hidden="1">Иль!$A$1:$F$104</definedName>
    <definedName name="Z_487FB2A4_0730_401E_81DB_8304F8599D85_.wvu.PrintArea" localSheetId="0" hidden="1">Консол!$A$1:$K$50</definedName>
    <definedName name="Z_487FB2A4_0730_401E_81DB_8304F8599D85_.wvu.PrintArea" localSheetId="7" hidden="1">Мор!$A$1:$F$100</definedName>
    <definedName name="Z_487FB2A4_0730_401E_81DB_8304F8599D85_.wvu.PrintArea" localSheetId="1" hidden="1">Справка!$A$1:$EY$31</definedName>
    <definedName name="Z_487FB2A4_0730_401E_81DB_8304F8599D85_.wvu.PrintArea" localSheetId="11" hidden="1">Тор!$A$1:$F$101</definedName>
    <definedName name="Z_487FB2A4_0730_401E_81DB_8304F8599D85_.wvu.PrintArea" localSheetId="15" hidden="1">Юнг!$A$1:$F$99</definedName>
    <definedName name="Z_487FB2A4_0730_401E_81DB_8304F8599D85_.wvu.PrintArea" localSheetId="17" hidden="1">Яра!$A$1:$F$102</definedName>
    <definedName name="Z_487FB2A4_0730_401E_81DB_8304F8599D85_.wvu.Rows" localSheetId="3" hidden="1">Але!$19:$24,Але!$44:$44,Але!$46:$46,Але!$53:$53,Але!$55:$56,Але!$63:$64,Але!$73:$74,Але!$78:$82,Але!$86:$88</definedName>
    <definedName name="Z_487FB2A4_0730_401E_81DB_8304F8599D85_.wvu.Rows" localSheetId="5" hidden="1">Иль!$19:$24,Иль!$30:$31,Иль!$33:$33,Иль!$45:$45,Иль!$50:$50,Иль!$60:$61,Иль!$68:$69,Иль!$78:$79,Иль!$81:$81,Иль!$93:$97</definedName>
    <definedName name="Z_487FB2A4_0730_401E_81DB_8304F8599D85_.wvu.Rows" localSheetId="6" hidden="1">Кад!$19:$24,Кад!$44:$44,Кад!$56:$56,Кад!$58:$59,Кад!$66:$67,Кад!$82:$84,Кад!$88:$95</definedName>
    <definedName name="Z_487FB2A4_0730_401E_81DB_8304F8599D85_.wvu.Rows" localSheetId="0" hidden="1">Консол!$22:$22,Консол!$43:$45,Консол!$82:$84</definedName>
    <definedName name="Z_487FB2A4_0730_401E_81DB_8304F8599D85_.wvu.Rows" localSheetId="19" hidden="1">Лист1!$82:$84</definedName>
    <definedName name="Z_487FB2A4_0730_401E_81DB_8304F8599D85_.wvu.Rows" localSheetId="7" hidden="1">Мор!$21:$21,Мор!$23:$23,Мор!$37:$37,Мор!$44:$44,Мор!$47:$47,Мор!$49:$50,Мор!$57:$57,Мор!$59:$60,Мор!$67:$68,Мор!$82:$87,Мор!$90:$96</definedName>
    <definedName name="Z_487FB2A4_0730_401E_81DB_8304F8599D85_.wvu.Rows" localSheetId="8" hidden="1">Мос!$19:$24,Мос!$44:$44,Мос!$57:$57,Мос!$59:$60,Мос!$67:$68,Мос!$80:$80,Мос!$82:$88,Мос!$93:$98</definedName>
    <definedName name="Z_487FB2A4_0730_401E_81DB_8304F8599D85_.wvu.Rows" localSheetId="9" hidden="1">Ори!$19:$24,Ори!$32:$32,Ори!$44:$44,Ори!$48:$50,Ори!$57:$57,Ори!$59:$60,Ори!$67:$68,Ори!$77:$78,Ори!$80:$80,Ори!$82:$86,Ори!$90:$97</definedName>
    <definedName name="Z_487FB2A4_0730_401E_81DB_8304F8599D85_.wvu.Rows" localSheetId="2" hidden="1">район!$17:$18,район!$20:$20,район!$28:$30,район!$50:$51,район!$75:$75,район!$82:$82,район!$99:$99,район!$105:$105,район!$132:$134</definedName>
    <definedName name="Z_487FB2A4_0730_401E_81DB_8304F8599D85_.wvu.Rows" localSheetId="1" hidden="1">Справка!$33:$33</definedName>
    <definedName name="Z_487FB2A4_0730_401E_81DB_8304F8599D85_.wvu.Rows" localSheetId="4" hidden="1">Сун!$19:$24,Сун!$49:$51,Сун!$58:$58,Сун!$60:$61,Сун!$68:$69,Сун!$78:$79,Сун!$81:$81,Сун!$87:$88,Сун!$92:$96</definedName>
    <definedName name="Z_487FB2A4_0730_401E_81DB_8304F8599D85_.wvu.Rows" localSheetId="10" hidden="1">Сят!$19:$19,Сят!$45:$47,Сят!$57:$57,Сят!$59:$60,Сят!$67:$68,Сят!$82:$85,Сят!$89:$96</definedName>
    <definedName name="Z_487FB2A4_0730_401E_81DB_8304F8599D85_.wvu.Rows" localSheetId="11" hidden="1">Тор!$19:$19,Тор!$50:$50,Тор!$57:$57,Тор!$59:$60,Тор!$67:$68,Тор!$74:$74,Тор!$78:$79,Тор!$82:$93</definedName>
    <definedName name="Z_487FB2A4_0730_401E_81DB_8304F8599D85_.wvu.Rows" localSheetId="12" hidden="1">Хор!$19:$24,Хор!$32:$32,Хор!$40:$40,Хор!$44:$44,Хор!$55:$55,Хор!$57:$58,Хор!$65:$66,Хор!$80:$84,Хор!$87:$94</definedName>
    <definedName name="Z_487FB2A4_0730_401E_81DB_8304F8599D85_.wvu.Rows" localSheetId="13" hidden="1">Чум!$19:$19,Чум!$21:$21,Чум!$23:$24,Чум!$47:$49,Чум!$57:$57,Чум!$59:$60,Чум!$67:$68,Чум!$82:$86,Чум!$89:$96</definedName>
    <definedName name="Z_487FB2A4_0730_401E_81DB_8304F8599D85_.wvu.Rows" localSheetId="14" hidden="1">Шать!$19:$24,Шать!$47:$49,Шать!$57:$57,Шать!$59:$60,Шать!$67:$68,Шать!$77:$78,Шать!$82:$86,Шать!$89:$96</definedName>
    <definedName name="Z_487FB2A4_0730_401E_81DB_8304F8599D85_.wvu.Rows" localSheetId="15" hidden="1">Юнг!$19:$24,Юнг!$32:$32,Юнг!$49:$49,Юнг!$56:$56,Юнг!$58:$59,Юнг!$66:$67,Юнг!$81:$85,Юнг!$88:$95</definedName>
    <definedName name="Z_487FB2A4_0730_401E_81DB_8304F8599D85_.wvu.Rows" localSheetId="16" hidden="1">Юсь!$20:$24,Юсь!$40:$40,Юсь!$44:$49,Юсь!$58:$58,Юсь!$60:$61,Юсь!$68:$69,Юсь!$78:$79,Юсь!$82:$87,Юсь!$90:$97</definedName>
    <definedName name="Z_487FB2A4_0730_401E_81DB_8304F8599D85_.wvu.Rows" localSheetId="17" hidden="1">Яра!$19:$24,Яра!$46:$50,Яра!$58:$58,Яра!$60:$61,Яра!$68:$69,Яра!$79:$79,Яра!$82:$88,Яра!$91:$98</definedName>
    <definedName name="Z_487FB2A4_0730_401E_81DB_8304F8599D85_.wvu.Rows" localSheetId="18" hidden="1">Яро!$19:$24,Яро!$29:$30,Яро!$32:$32,Яро!$43:$43,Яро!$54:$54,Яро!$56:$57,Яро!$64:$65,Яро!$74:$75,Яро!$79:$84,Яро!$86:$93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Иль!$A$1:$F$104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Мор!$A$1:$F$100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Тор!$A$1:$F$101</definedName>
    <definedName name="Z_5BFCA170_DEAE_4D2C_98A0_1E68B427AC01_.wvu.PrintArea" localSheetId="15" hidden="1">Юнг!$A$1:$F$99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Але!$19:$24,Але!$44:$44,Але!$46:$46,Але!$53:$53,Але!$55:$56,Але!$63:$64,Але!$73:$74,Але!$78:$82,Але!$86:$88</definedName>
    <definedName name="Z_5BFCA170_DEAE_4D2C_98A0_1E68B427AC01_.wvu.Rows" localSheetId="5" hidden="1">Иль!$19:$24,Иль!$30:$31,Иль!$33:$33,Иль!$45:$45,Иль!$50:$50,Иль!$60:$61,Иль!$68:$69,Иль!$78:$79,Иль!$81:$81,Иль!$93:$97</definedName>
    <definedName name="Z_5BFCA170_DEAE_4D2C_98A0_1E68B427AC01_.wvu.Rows" localSheetId="6" hidden="1">Кад!$19:$24,Кад!$44:$44,Кад!$56:$56,Кад!$58:$59,Кад!$66:$67,Кад!$82:$84,Кад!$88:$95</definedName>
    <definedName name="Z_5BFCA170_DEAE_4D2C_98A0_1E68B427AC01_.wvu.Rows" localSheetId="0" hidden="1">Консол!$22:$22,Консол!$43:$45,Консол!$82:$84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Мор!$21:$21,Мор!$23:$23,Мор!$37:$37,Мор!$44:$44,Мор!$47:$47,Мор!$49:$50,Мор!$57:$57,Мор!$59:$60,Мор!$67:$68,Мор!$82:$87,Мор!$90:$96</definedName>
    <definedName name="Z_5BFCA170_DEAE_4D2C_98A0_1E68B427AC01_.wvu.Rows" localSheetId="8" hidden="1">Мос!$19:$24,Мос!$44:$44,Мос!$57:$57,Мос!$59:$60,Мос!$67:$68,Мос!$80:$80,Мос!$82:$88,Мос!$93:$98</definedName>
    <definedName name="Z_5BFCA170_DEAE_4D2C_98A0_1E68B427AC01_.wvu.Rows" localSheetId="9" hidden="1">Ори!$19:$24,Ори!$32:$32,Ори!$44:$44,Ори!$48:$50,Ори!$57:$57,Ори!$59:$60,Ори!$67:$68,Ори!$77:$78,Ори!$80:$80,Ори!$82:$86,Ори!$90:$97</definedName>
    <definedName name="Z_5BFCA170_DEAE_4D2C_98A0_1E68B427AC01_.wvu.Rows" localSheetId="2" hidden="1">район!$17:$18,район!$20:$20,район!$28:$30,район!$50:$51,район!$75:$75,район!$82:$82,район!$99:$99,район!$105:$105,район!$132:$134</definedName>
    <definedName name="Z_5BFCA170_DEAE_4D2C_98A0_1E68B427AC01_.wvu.Rows" localSheetId="1" hidden="1">Справка!$33:$33</definedName>
    <definedName name="Z_5BFCA170_DEAE_4D2C_98A0_1E68B427AC01_.wvu.Rows" localSheetId="4" hidden="1">Сун!$19:$24,Сун!$49:$51,Сун!$58:$58,Сун!$60:$61,Сун!$68:$69,Сун!$78:$79,Сун!$81:$81,Сун!$87:$88,Сун!$92:$96</definedName>
    <definedName name="Z_5BFCA170_DEAE_4D2C_98A0_1E68B427AC01_.wvu.Rows" localSheetId="10" hidden="1">Сят!$19:$19,Сят!$45:$47,Сят!$57:$57,Сят!$59:$60,Сят!$67:$68,Сят!$82:$85,Сят!$89:$96</definedName>
    <definedName name="Z_5BFCA170_DEAE_4D2C_98A0_1E68B427AC01_.wvu.Rows" localSheetId="11" hidden="1">Тор!$19:$19,Тор!$50:$50,Тор!$57:$57,Тор!$59:$60,Тор!$67:$68,Тор!$74:$74,Тор!$78:$79,Тор!$82:$93</definedName>
    <definedName name="Z_5BFCA170_DEAE_4D2C_98A0_1E68B427AC01_.wvu.Rows" localSheetId="12" hidden="1">Хор!$19:$24,Хор!$32:$32,Хор!$40:$40,Хор!$44:$44,Хор!$55:$55,Хор!$57:$58,Хор!$65:$66,Хор!$80:$84,Хор!$87:$94</definedName>
    <definedName name="Z_5BFCA170_DEAE_4D2C_98A0_1E68B427AC01_.wvu.Rows" localSheetId="13" hidden="1">Чум!$19:$19,Чум!$21:$21,Чум!$23:$24,Чум!$47:$49,Чум!$57:$57,Чум!$59:$60,Чум!$67:$68,Чум!$82:$86,Чум!$89:$96</definedName>
    <definedName name="Z_5BFCA170_DEAE_4D2C_98A0_1E68B427AC01_.wvu.Rows" localSheetId="14" hidden="1">Шать!$19:$24,Шать!$47:$49,Шать!$57:$57,Шать!$59:$60,Шать!$67:$68,Шать!$77:$78,Шать!$82:$86,Шать!$89:$96</definedName>
    <definedName name="Z_5BFCA170_DEAE_4D2C_98A0_1E68B427AC01_.wvu.Rows" localSheetId="15" hidden="1">Юнг!$19:$24,Юнг!$32:$32,Юнг!$49:$49,Юнг!$56:$56,Юнг!$58:$59,Юнг!$66:$67,Юнг!$81:$85,Юнг!$88:$95</definedName>
    <definedName name="Z_5BFCA170_DEAE_4D2C_98A0_1E68B427AC01_.wvu.Rows" localSheetId="16" hidden="1">Юсь!$20:$24,Юсь!$40:$40,Юсь!$44:$49,Юсь!$58:$58,Юсь!$60:$61,Юсь!$68:$69,Юсь!$78:$79,Юсь!$82:$87,Юсь!$90:$97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Яро!$19:$24,Яро!$29:$30,Яро!$32:$32,Яро!$43:$43,Яро!$54:$54,Яро!$56:$57,Яро!$64:$65,Яро!$74:$75,Яро!$79:$84,Яро!$86:$93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Иль!$A$1:$F$104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Мор!$A$1:$F$100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Юнг!$A$1:$F$99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Але!$19:$24,Але!$28:$33,Але!$36:$36,Але!$46:$46,Але!$53:$53,Але!$55:$57,Але!$63:$64,Але!$73:$74,Але!$78:$82,Але!$85:$92,Але!$141:$141</definedName>
    <definedName name="Z_A54C432C_6C68_4B53_A75C_446EB3A61B2B_.wvu.Rows" localSheetId="5" hidden="1">Иль!$19:$24,Иль!$30:$39,Иль!$45:$45,Иль!$47:$50,Иль!$58:$58,Иль!$60:$62,Иль!$68:$69,Иль!$78:$79,Иль!$81:$81,Иль!$86:$90,Иль!$93:$100,Иль!$143:$143</definedName>
    <definedName name="Z_A54C432C_6C68_4B53_A75C_446EB3A61B2B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A54C432C_6C68_4B53_A75C_446EB3A61B2B_.wvu.Rows" localSheetId="0" hidden="1">Консол!$22:$22,Консол!$43:$45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Мор!$17:$24,Мор!$27:$27,Мор!$31:$35,Мор!$37:$37,Мор!$44:$44,Мор!$46:$47,Мор!$49:$50,Мор!$57:$57,Мор!$59:$60,Мор!$64:$65,Мор!$67:$68,Мор!$77:$78,Мор!$82:$87,Мор!$90:$96,Мор!$141:$141</definedName>
    <definedName name="Z_A54C432C_6C68_4B53_A75C_446EB3A61B2B_.wvu.Rows" localSheetId="8" hidden="1">Мос!$19:$24,Мос!$29:$35,Мос!$44:$44,Мос!$46:$49,Мос!$57:$57,Мос!$59:$60,Мос!$67:$68,Мос!$77:$78,Мос!$80:$80,Мос!$83:$90,Мос!$93:$100,Мос!$141:$141</definedName>
    <definedName name="Z_A54C432C_6C68_4B53_A75C_446EB3A61B2B_.wvu.Rows" localSheetId="9" hidden="1">Ори!$19:$24,Ори!$31:$35,Ори!$44:$44,Ори!$46:$46,Ори!$48:$50,Ори!$57:$57,Ори!$59:$60,Ори!$67:$68,Ори!$77:$78,Ори!$80:$80,Ори!$83:$87,Ори!$90:$97,Ори!$141:$141</definedName>
    <definedName name="Z_A54C432C_6C68_4B53_A75C_446EB3A61B2B_.wvu.Rows" localSheetId="2" hidden="1">район!$17:$18,район!$20:$20,район!$25:$25,район!$27:$31,район!$35:$35,район!$38:$38,район!$50:$51,район!$62:$62,район!$75:$75,район!$82:$82,район!$99:$99,район!$105:$105,район!$132:$134,район!$137:$138</definedName>
    <definedName name="Z_A54C432C_6C68_4B53_A75C_446EB3A61B2B_.wvu.Rows" localSheetId="1" hidden="1">Справка!$33:$33</definedName>
    <definedName name="Z_A54C432C_6C68_4B53_A75C_446EB3A61B2B_.wvu.Rows" localSheetId="4" hidden="1">Сун!$19:$24,Сун!$34:$39,Сун!$43:$43,Сун!$45:$45,Сун!$47:$47,Сун!$49:$51,Сун!$58:$58,Сун!$60:$62,Сун!$68:$69,Сун!$78:$79,Сун!$81:$81,Сун!$84:$84,Сун!$86:$88,Сун!$92:$99,Сун!$141:$141</definedName>
    <definedName name="Z_A54C432C_6C68_4B53_A75C_446EB3A61B2B_.wvu.Rows" localSheetId="10" hidden="1">Сят!$19:$24,Сят!$31:$35,Сят!$38:$38,Сят!$45:$48,Сят!$57:$57,Сят!$59:$60,Сят!$67:$68,Сят!$77:$78,Сят!$82:$86,Сят!$89:$96,Сят!$142:$142</definedName>
    <definedName name="Z_A54C432C_6C68_4B53_A75C_446EB3A61B2B_.wvu.Rows" localSheetId="11" hidden="1">Тор!$19:$24,Тор!$32:$36,Тор!$39:$39,Тор!$46:$47,Тор!$50:$50,Тор!$57:$57,Тор!$59:$60,Тор!$67:$68,Тор!$74:$74,Тор!$78:$79,Тор!$83:$95,Тор!$142:$142</definedName>
    <definedName name="Z_A54C432C_6C68_4B53_A75C_446EB3A61B2B_.wvu.Rows" localSheetId="12" hidden="1">Хор!$19:$24,Хор!$28:$33,Хор!$40:$40,Хор!$44:$44,Хор!$46:$48,Хор!$55:$55,Хор!$57:$59,Хор!$65:$66,Хор!$71:$71,Хор!$75:$76,Хор!$80:$84,Хор!$87:$94,Хор!$141:$141</definedName>
    <definedName name="Z_A54C432C_6C68_4B53_A75C_446EB3A61B2B_.wvu.Rows" localSheetId="13" hidden="1">Чум!$19:$24,Чум!$31:$36,Чум!$46:$49,Чум!$57:$57,Чум!$59:$61,Чум!$67:$68,Чум!$77:$78,Чум!$82:$86,Чум!$89:$96,Чум!$141:$141</definedName>
    <definedName name="Z_A54C432C_6C68_4B53_A75C_446EB3A61B2B_.wvu.Rows" localSheetId="14" hidden="1">Шать!$19:$25,Шать!$31:$33,Шать!$46:$49,Шать!$57:$57,Шать!$59:$60,Шать!$67:$68,Шать!$77:$78,Шать!$83:$85,Шать!$89:$96,Шать!$141:$141</definedName>
    <definedName name="Z_A54C432C_6C68_4B53_A75C_446EB3A61B2B_.wvu.Rows" localSheetId="15" hidden="1">Юнг!$19:$24,Юнг!$33:$33,Юнг!$38:$38,Юнг!$46:$47,Юнг!$56:$56,Юнг!$58:$60,Юнг!$66:$68,Юнг!$76:$77,Юнг!$81:$85,Юнг!$88:$95,Юнг!$141:$141</definedName>
    <definedName name="Z_A54C432C_6C68_4B53_A75C_446EB3A61B2B_.wvu.Rows" localSheetId="16" hidden="1">Юсь!$19:$24,Юсь!$31:$33,Юсь!$36:$36,Юсь!$40:$40,Юсь!$44:$50,Юсь!$58:$58,Юсь!$60:$61,Юсь!$68:$69,Юсь!$78:$79,Юсь!$83:$87,Юсь!$90:$97,Юсь!$141:$141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Яро!$19:$24,Яро!$28:$36,Яро!$43:$43,Яро!$46:$46,Яро!$54:$54,Яро!$56:$58,Яро!$64:$65,Яро!$74:$74,Яро!$79:$83,Яро!$86:$93</definedName>
    <definedName name="Z_B30CE22D_C12F_4E12_8BB9_3AAE0A6991CC_.wvu.Cols" localSheetId="1" hidden="1">Справка!$AV:$AX,Справка!$BB:$BD,Справка!$BH:$BP,Справка!$BT:$BY,Справка!$CX:$DF</definedName>
    <definedName name="Z_B30CE22D_C12F_4E12_8BB9_3AAE0A6991CC_.wvu.PrintArea" localSheetId="5" hidden="1">Иль!$A$1:$F$104</definedName>
    <definedName name="Z_B30CE22D_C12F_4E12_8BB9_3AAE0A6991CC_.wvu.PrintArea" localSheetId="0" hidden="1">Консол!$A$1:$K$50</definedName>
    <definedName name="Z_B30CE22D_C12F_4E12_8BB9_3AAE0A6991CC_.wvu.PrintArea" localSheetId="7" hidden="1">Мор!$A$1:$F$100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Сун!$A$1:$F$103</definedName>
    <definedName name="Z_B30CE22D_C12F_4E12_8BB9_3AAE0A6991CC_.wvu.PrintArea" localSheetId="11" hidden="1">Тор!$A$1:$F$101</definedName>
    <definedName name="Z_B30CE22D_C12F_4E12_8BB9_3AAE0A6991CC_.wvu.PrintArea" localSheetId="15" hidden="1">Юнг!$A$1:$F$99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Але!$19:$24,Але!$28:$33,Але!$36:$36,Але!$46:$46,Але!$53:$53,Але!$55:$57,Але!$63:$64,Але!$73:$74,Але!$78:$82,Але!$85:$92,Але!$141:$141</definedName>
    <definedName name="Z_B30CE22D_C12F_4E12_8BB9_3AAE0A6991CC_.wvu.Rows" localSheetId="5" hidden="1">Иль!$19:$24,Иль!$30:$39,Иль!$58:$58,Иль!$60:$62,Иль!$68:$69,Иль!$78:$79,Иль!$81:$81,Иль!$86:$90,Иль!$93:$100,Иль!$143:$143</definedName>
    <definedName name="Z_B30CE22D_C12F_4E12_8BB9_3AAE0A6991CC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B30CE22D_C12F_4E12_8BB9_3AAE0A6991CC_.wvu.Rows" localSheetId="0" hidden="1">Консол!$22:$22,Консол!$43:$45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Мор!$17:$24,Мор!$27:$27,Мор!$31:$33,Мор!$44:$44,Мор!$46:$47,Мор!$49:$50,Мор!$57:$57,Мор!$59:$60,Мор!$64:$65,Мор!$67:$68,Мор!$77:$78,Мор!$82:$87,Мор!$90:$96,Мор!$141:$141</definedName>
    <definedName name="Z_B30CE22D_C12F_4E12_8BB9_3AAE0A6991CC_.wvu.Rows" localSheetId="8" hidden="1">Мос!$19:$24,Мос!$29:$35,Мос!$44:$44,Мос!$49:$49,Мос!$57:$57,Мос!$59:$60,Мос!$67:$68,Мос!$77:$78,Мос!$80:$80,Мос!$83:$90,Мос!$93:$100,Мос!$141:$141</definedName>
    <definedName name="Z_B30CE22D_C12F_4E12_8BB9_3AAE0A6991CC_.wvu.Rows" localSheetId="9" hidden="1">Ори!$19:$24,Ори!$31:$35,Ори!$44:$44,Ори!$46:$46,Ори!$48:$50,Ори!$57:$57,Ори!$59:$60,Ори!$67:$68,Ори!$77:$78,Ори!$80:$80,Ори!$83:$87,Ори!$90:$97,Ори!$141:$141</definedName>
    <definedName name="Z_B30CE22D_C12F_4E12_8BB9_3AAE0A6991CC_.wvu.Rows" localSheetId="2" hidden="1">район!$17:$18,район!$20:$20,район!$27:$31,район!$35:$35,район!$38:$38,район!$50:$51,район!$62:$62,район!$75:$75,район!$82:$82,район!$99:$99,район!$105:$105,район!$132:$134,район!$137:$138</definedName>
    <definedName name="Z_B30CE22D_C12F_4E12_8BB9_3AAE0A6991CC_.wvu.Rows" localSheetId="1" hidden="1">Справка!$33:$33</definedName>
    <definedName name="Z_B30CE22D_C12F_4E12_8BB9_3AAE0A6991CC_.wvu.Rows" localSheetId="4" hidden="1">Сун!$19:$24,Сун!$34:$36,Сун!$45:$45,Сун!$47:$47,Сун!$49:$51,Сун!$58:$58,Сун!$60:$62,Сун!$68:$69,Сун!$78:$79,Сун!$81:$81,Сун!$84:$84,Сун!$86:$88,Сун!$92:$99,Сун!$141:$141</definedName>
    <definedName name="Z_B30CE22D_C12F_4E12_8BB9_3AAE0A6991CC_.wvu.Rows" localSheetId="10" hidden="1">Сят!$19:$24,Сят!$31:$33,Сят!$38:$38,Сят!$45:$48,Сят!$57:$57,Сят!$59:$60,Сят!$67:$68,Сят!$77:$78,Сят!$82:$86,Сят!$89:$96,Сят!$142:$142</definedName>
    <definedName name="Z_B30CE22D_C12F_4E12_8BB9_3AAE0A6991CC_.wvu.Rows" localSheetId="11" hidden="1">Тор!$19:$24,Тор!$32:$36,Тор!$39:$39,Тор!$50:$50,Тор!$57:$57,Тор!$59:$60,Тор!$67:$68,Тор!$74:$74,Тор!$78:$79,Тор!$85:$86,Тор!$89:$95,Тор!$142:$142</definedName>
    <definedName name="Z_B30CE22D_C12F_4E12_8BB9_3AAE0A6991CC_.wvu.Rows" localSheetId="12" hidden="1">Хор!$19:$24,Хор!$28:$36,Хор!$40:$40,Хор!$44:$44,Хор!$46:$48,Хор!$55:$55,Хор!$57:$59,Хор!$65:$66,Хор!$75:$76,Хор!$80:$84,Хор!$87:$94,Хор!$141:$141</definedName>
    <definedName name="Z_B30CE22D_C12F_4E12_8BB9_3AAE0A6991CC_.wvu.Rows" localSheetId="13" hidden="1">Чум!$19:$24,Чум!$31:$36,Чум!$46:$49,Чум!$57:$57,Чум!$59:$61,Чум!$67:$68,Чум!$77:$78,Чум!$82:$86,Чум!$89:$96,Чум!$141:$141</definedName>
    <definedName name="Z_B30CE22D_C12F_4E12_8BB9_3AAE0A6991CC_.wvu.Rows" localSheetId="14" hidden="1">Шать!$19:$25,Шать!$31:$33,Шать!$46:$49,Шать!$57:$57,Шать!$59:$60,Шать!$67:$68,Шать!$77:$78,Шать!$83:$85,Шать!$89:$96,Шать!$141:$141</definedName>
    <definedName name="Z_B30CE22D_C12F_4E12_8BB9_3AAE0A6991CC_.wvu.Rows" localSheetId="15" hidden="1">Юнг!$19:$24,Юнг!$38:$38,Юнг!$46:$46,Юнг!$56:$56,Юнг!$58:$60,Юнг!$66:$68,Юнг!$76:$77,Юнг!$81:$85,Юнг!$88:$95,Юнг!$141:$141</definedName>
    <definedName name="Z_B30CE22D_C12F_4E12_8BB9_3AAE0A6991CC_.wvu.Rows" localSheetId="16" hidden="1">Юсь!$19:$24,Юсь!$31:$33,Юсь!$36:$36,Юсь!$44:$50,Юсь!$58:$58,Юсь!$60:$61,Юсь!$68:$69,Юсь!$78:$79,Юсь!$83:$87,Юсь!$90:$97,Юсь!$141:$141</definedName>
    <definedName name="Z_B30CE22D_C12F_4E12_8BB9_3AAE0A6991CC_.wvu.Rows" localSheetId="17" hidden="1">Яра!$19:$24,Яра!$32:$34,Яра!$46:$50,Яра!$58:$58,Яра!$60:$62,Яра!$68:$69,Яра!$79:$80,Яра!$84:$88,Яра!$91:$98,Яра!$143:$143</definedName>
    <definedName name="Z_B30CE22D_C12F_4E12_8BB9_3AAE0A6991CC_.wvu.Rows" localSheetId="18" hidden="1">Яро!$19:$24,Яро!$28:$36,Яро!$43:$44,Яро!$46:$46,Яро!$54:$54,Яро!$56:$58,Яро!$64:$65,Яро!$74:$74,Яро!$79:$83,Яро!$86:$93</definedName>
    <definedName name="_xlnm.Print_Area" localSheetId="5">Иль!$A$1:$F$104</definedName>
    <definedName name="_xlnm.Print_Area" localSheetId="0">Консол!$A$1:$K$50</definedName>
    <definedName name="_xlnm.Print_Area" localSheetId="7">Мор!$A$1:$F$100</definedName>
    <definedName name="_xlnm.Print_Area" localSheetId="1">Справка!$A$1:$EY$31</definedName>
    <definedName name="_xlnm.Print_Area" localSheetId="11">Тор!$A$1:$F$101</definedName>
    <definedName name="_xlnm.Print_Area" localSheetId="15">Юнг!$A$1:$F$99</definedName>
    <definedName name="_xlnm.Print_Area" localSheetId="17">Яра!$A$1:$F$102</definedName>
  </definedNames>
  <calcPr calcId="125725"/>
  <customWorkbookViews>
    <customWorkbookView name="1 - Личное представление" guid="{487FB2A4-0730-401E-81DB-8304F8599D85}" mergeInterval="0" personalView="1" maximized="1" xWindow="1" yWindow="1" windowWidth="1356" windowHeight="538" tabRatio="695" activeSheetId="19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2 - Личное представление" guid="{B30CE22D-C12F-4E12-8BB9-3AAE0A6991CC}" mergeInterval="0" personalView="1" maximized="1" xWindow="1" yWindow="1" windowWidth="1916" windowHeight="859" tabRatio="695" activeSheetId="18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</customWorkbookViews>
</workbook>
</file>

<file path=xl/calcChain.xml><?xml version="1.0" encoding="utf-8"?>
<calcChain xmlns="http://schemas.openxmlformats.org/spreadsheetml/2006/main">
  <c r="C104" i="3"/>
  <c r="C33"/>
  <c r="D40" i="16"/>
  <c r="D39" i="19"/>
  <c r="D42" i="18" l="1"/>
  <c r="D34" i="15"/>
  <c r="D36" i="7"/>
  <c r="D42" i="14"/>
  <c r="D66" i="12"/>
  <c r="D34" i="11"/>
  <c r="D26"/>
  <c r="D14"/>
  <c r="CV26" i="2"/>
  <c r="AT18"/>
  <c r="AQ18"/>
  <c r="C34" i="11" l="1"/>
  <c r="BN21" i="2" s="1"/>
  <c r="C81" i="12"/>
  <c r="C38" i="17"/>
  <c r="D12" i="19"/>
  <c r="D33" i="3"/>
  <c r="E40"/>
  <c r="F40"/>
  <c r="D67" i="18" l="1"/>
  <c r="E42" i="13"/>
  <c r="D81" i="12"/>
  <c r="D64"/>
  <c r="D67" i="6"/>
  <c r="C67"/>
  <c r="E72"/>
  <c r="F72"/>
  <c r="C67" i="4"/>
  <c r="D67"/>
  <c r="D98" i="3"/>
  <c r="D104" l="1"/>
  <c r="G32" i="1" s="1"/>
  <c r="CO19" i="2"/>
  <c r="C40" i="9"/>
  <c r="E48"/>
  <c r="D5" i="5"/>
  <c r="D38" i="14"/>
  <c r="C29" i="12"/>
  <c r="C42" i="18"/>
  <c r="C39" i="19"/>
  <c r="J15" i="2"/>
  <c r="E103" i="3"/>
  <c r="F103"/>
  <c r="D12" i="7"/>
  <c r="CD14" i="2"/>
  <c r="CS17"/>
  <c r="CD17"/>
  <c r="C38" i="4"/>
  <c r="AT28" i="2"/>
  <c r="F28" i="18"/>
  <c r="E28"/>
  <c r="D26"/>
  <c r="C67"/>
  <c r="F72"/>
  <c r="E72"/>
  <c r="D73"/>
  <c r="F29"/>
  <c r="E29"/>
  <c r="C115" i="3"/>
  <c r="C98"/>
  <c r="E93"/>
  <c r="F86" i="15"/>
  <c r="E86"/>
  <c r="F85"/>
  <c r="E85"/>
  <c r="F84"/>
  <c r="E84"/>
  <c r="F83"/>
  <c r="E83"/>
  <c r="D80" i="14"/>
  <c r="C42"/>
  <c r="CR17" i="2"/>
  <c r="C40" i="7"/>
  <c r="D41" i="6"/>
  <c r="C41"/>
  <c r="CS16" i="2"/>
  <c r="CR16"/>
  <c r="BQ14"/>
  <c r="E51" i="6"/>
  <c r="F51"/>
  <c r="C42"/>
  <c r="D67" i="5"/>
  <c r="C16"/>
  <c r="D38" i="4"/>
  <c r="BR14" i="2"/>
  <c r="CV22"/>
  <c r="CV21"/>
  <c r="D124" i="3"/>
  <c r="D73"/>
  <c r="D41" i="12"/>
  <c r="E49"/>
  <c r="F49"/>
  <c r="D40" i="11"/>
  <c r="BR25" i="2" l="1"/>
  <c r="CS23"/>
  <c r="CS19"/>
  <c r="CS18"/>
  <c r="CS14" l="1"/>
  <c r="C73" i="3"/>
  <c r="D38" i="13"/>
  <c r="D40" i="10"/>
  <c r="D40" i="9"/>
  <c r="D40" i="8"/>
  <c r="D17" i="15"/>
  <c r="E11" i="3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3" i="5" l="1"/>
  <c r="AE14" i="2"/>
  <c r="CR14"/>
  <c r="CT14" s="1"/>
  <c r="CR27"/>
  <c r="CT27" s="1"/>
  <c r="CR25"/>
  <c r="CT25" s="1"/>
  <c r="CR24"/>
  <c r="CT24" s="1"/>
  <c r="CR21"/>
  <c r="CT21" s="1"/>
  <c r="CR19"/>
  <c r="CR18"/>
  <c r="CT18" s="1"/>
  <c r="CS15"/>
  <c r="CR15"/>
  <c r="F79" i="13"/>
  <c r="F90" i="18"/>
  <c r="C75" i="17"/>
  <c r="E51"/>
  <c r="F51"/>
  <c r="C73" i="16"/>
  <c r="C40"/>
  <c r="E40" s="1"/>
  <c r="E50" i="15"/>
  <c r="F50"/>
  <c r="C41" i="14"/>
  <c r="F41" s="1"/>
  <c r="E50"/>
  <c r="F50"/>
  <c r="E75" i="12"/>
  <c r="E72"/>
  <c r="E31"/>
  <c r="F31"/>
  <c r="D29"/>
  <c r="C81" i="11"/>
  <c r="C40"/>
  <c r="E40" s="1"/>
  <c r="E49"/>
  <c r="F49"/>
  <c r="C40" i="10"/>
  <c r="F40" s="1"/>
  <c r="E79" i="9"/>
  <c r="E50"/>
  <c r="F50"/>
  <c r="E47" i="8"/>
  <c r="F47"/>
  <c r="E48"/>
  <c r="F48"/>
  <c r="E49"/>
  <c r="F49"/>
  <c r="E50"/>
  <c r="F50"/>
  <c r="C40"/>
  <c r="F40" s="1"/>
  <c r="E28" i="3"/>
  <c r="E29"/>
  <c r="E30"/>
  <c r="E31"/>
  <c r="F80" i="5"/>
  <c r="F75"/>
  <c r="C26"/>
  <c r="D41"/>
  <c r="E48"/>
  <c r="F48"/>
  <c r="C41"/>
  <c r="E48" i="12"/>
  <c r="F48"/>
  <c r="E67" i="3"/>
  <c r="E62"/>
  <c r="E57"/>
  <c r="E38"/>
  <c r="G24" i="1"/>
  <c r="E80" i="3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T22" s="1"/>
  <c r="CV14"/>
  <c r="C55" i="7"/>
  <c r="D109" i="3"/>
  <c r="G33" i="1" s="1"/>
  <c r="C109" i="3"/>
  <c r="F33" i="1" s="1"/>
  <c r="E111" i="3"/>
  <c r="E112"/>
  <c r="E102"/>
  <c r="E91"/>
  <c r="E74"/>
  <c r="E75"/>
  <c r="E70"/>
  <c r="E71"/>
  <c r="E60"/>
  <c r="D52"/>
  <c r="G20" i="1" s="1"/>
  <c r="E34" i="3"/>
  <c r="E35"/>
  <c r="E25"/>
  <c r="C67" i="17"/>
  <c r="D20" i="14"/>
  <c r="AK24" i="2" s="1"/>
  <c r="E74" i="11"/>
  <c r="E34" i="10"/>
  <c r="F34"/>
  <c r="E35"/>
  <c r="F35"/>
  <c r="D80" i="8"/>
  <c r="EL18" i="2" s="1"/>
  <c r="C76" i="8"/>
  <c r="EH18" i="2" s="1"/>
  <c r="C71" i="8"/>
  <c r="EE18" i="2" s="1"/>
  <c r="E35" i="11"/>
  <c r="F35"/>
  <c r="E34"/>
  <c r="F34"/>
  <c r="E33"/>
  <c r="C7" i="8"/>
  <c r="D7" i="5"/>
  <c r="C52" i="4"/>
  <c r="D12"/>
  <c r="BP23" i="2"/>
  <c r="BO21"/>
  <c r="BP21" s="1"/>
  <c r="D96" i="12"/>
  <c r="ER22" i="2" s="1"/>
  <c r="F35" i="16"/>
  <c r="E35"/>
  <c r="D34"/>
  <c r="E34" s="1"/>
  <c r="D12" i="13"/>
  <c r="D5"/>
  <c r="D78"/>
  <c r="EL23" i="2" s="1"/>
  <c r="D74" i="13"/>
  <c r="EI23" i="2" s="1"/>
  <c r="D62" i="13"/>
  <c r="D69"/>
  <c r="EF23" i="2" s="1"/>
  <c r="D54" i="13"/>
  <c r="D26"/>
  <c r="E82" i="3"/>
  <c r="AQ27" i="2"/>
  <c r="AQ25"/>
  <c r="AQ19"/>
  <c r="AR19" s="1"/>
  <c r="AQ17"/>
  <c r="AT29"/>
  <c r="AU29" s="1"/>
  <c r="BU35"/>
  <c r="E87" i="16"/>
  <c r="C80" i="14"/>
  <c r="EK24" i="2" s="1"/>
  <c r="E15" i="14"/>
  <c r="C74" i="13"/>
  <c r="EH23" i="2" s="1"/>
  <c r="E42" i="10"/>
  <c r="F42"/>
  <c r="BO19" i="2"/>
  <c r="BP19" s="1"/>
  <c r="F74" i="9"/>
  <c r="F35"/>
  <c r="E35"/>
  <c r="D34"/>
  <c r="C34"/>
  <c r="AZ15" i="2"/>
  <c r="AZ17"/>
  <c r="AZ19"/>
  <c r="AZ20"/>
  <c r="AZ21"/>
  <c r="AZ24"/>
  <c r="AZ26"/>
  <c r="AZ27"/>
  <c r="AZ28"/>
  <c r="D69" i="3"/>
  <c r="G21" i="1" s="1"/>
  <c r="F67" i="3"/>
  <c r="E36" i="18"/>
  <c r="F36"/>
  <c r="E48" i="16"/>
  <c r="F48"/>
  <c r="E46"/>
  <c r="E47"/>
  <c r="E42"/>
  <c r="F42"/>
  <c r="C34" i="15"/>
  <c r="BN25" i="2" s="1"/>
  <c r="E36" i="15"/>
  <c r="F36"/>
  <c r="BO25" i="2"/>
  <c r="E70" i="14"/>
  <c r="D34"/>
  <c r="BO24" i="2" s="1"/>
  <c r="C34" i="14"/>
  <c r="E36" i="12"/>
  <c r="F36"/>
  <c r="C35"/>
  <c r="E42" i="11"/>
  <c r="F42"/>
  <c r="E42" i="8"/>
  <c r="F42"/>
  <c r="E85" i="7"/>
  <c r="BR17" i="2"/>
  <c r="E42" i="7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82" i="18"/>
  <c r="D78"/>
  <c r="EI28" i="2" s="1"/>
  <c r="D41" i="18"/>
  <c r="C41"/>
  <c r="E51"/>
  <c r="F51"/>
  <c r="D34" i="7"/>
  <c r="BO17" i="2" s="1"/>
  <c r="BP17" s="1"/>
  <c r="C34" i="7"/>
  <c r="G15" i="1"/>
  <c r="D61" i="19"/>
  <c r="DZ29" i="2" s="1"/>
  <c r="D38" i="19"/>
  <c r="D35" i="18"/>
  <c r="BO28" i="2" s="1"/>
  <c r="BO20"/>
  <c r="BP20" s="1"/>
  <c r="D87" i="14"/>
  <c r="ER24" i="2" s="1"/>
  <c r="D36" i="8"/>
  <c r="BR18" i="2" s="1"/>
  <c r="E27" i="19"/>
  <c r="E56" i="16"/>
  <c r="E57"/>
  <c r="E58"/>
  <c r="E59"/>
  <c r="AQ29" i="2"/>
  <c r="AQ14"/>
  <c r="CL18"/>
  <c r="AS17"/>
  <c r="AA24"/>
  <c r="D115" i="3"/>
  <c r="G35" i="1" s="1"/>
  <c r="D35" s="1"/>
  <c r="F118" i="3"/>
  <c r="E118"/>
  <c r="D66" i="8"/>
  <c r="EC18" i="2" s="1"/>
  <c r="C66" i="8"/>
  <c r="EB18" i="2" s="1"/>
  <c r="C14" i="14"/>
  <c r="F15" s="1"/>
  <c r="F35" i="15"/>
  <c r="E35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CC19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7" i="15"/>
  <c r="ER25" i="2" s="1"/>
  <c r="D20" i="12"/>
  <c r="AK22" i="2" s="1"/>
  <c r="AL22" s="1"/>
  <c r="C20" i="12"/>
  <c r="D26" i="5"/>
  <c r="C31" i="4"/>
  <c r="AP27" i="2"/>
  <c r="AZ14"/>
  <c r="CO28"/>
  <c r="CO26"/>
  <c r="CC26"/>
  <c r="CO24"/>
  <c r="CO23"/>
  <c r="CO22"/>
  <c r="CO16"/>
  <c r="D26" i="19"/>
  <c r="D53"/>
  <c r="D68"/>
  <c r="EF29" i="2" s="1"/>
  <c r="D65" i="16"/>
  <c r="D63"/>
  <c r="D55"/>
  <c r="D75"/>
  <c r="D70"/>
  <c r="EF26" i="2" s="1"/>
  <c r="D66" i="15"/>
  <c r="EC25" i="2" s="1"/>
  <c r="D7" i="7"/>
  <c r="D40"/>
  <c r="F40" s="1"/>
  <c r="D26"/>
  <c r="D17" i="5"/>
  <c r="EF14" i="2"/>
  <c r="DQ20"/>
  <c r="DQ17"/>
  <c r="D5" i="15"/>
  <c r="D5" i="9"/>
  <c r="C35" i="18"/>
  <c r="BN28" i="2" s="1"/>
  <c r="C34" i="8"/>
  <c r="AP18" i="2"/>
  <c r="AT19"/>
  <c r="AS18"/>
  <c r="E41" i="3"/>
  <c r="F41"/>
  <c r="C52"/>
  <c r="F20" i="1" s="1"/>
  <c r="DZ22" i="2"/>
  <c r="AQ21"/>
  <c r="D65" i="17"/>
  <c r="D56" i="15"/>
  <c r="D37" i="12"/>
  <c r="BR22" i="2" s="1"/>
  <c r="E15" i="5"/>
  <c r="E16"/>
  <c r="D60" i="4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5" s="1"/>
  <c r="BJ18"/>
  <c r="BK18"/>
  <c r="BL18"/>
  <c r="BM18"/>
  <c r="D66" i="14"/>
  <c r="EC24" i="2" s="1"/>
  <c r="D5" i="14"/>
  <c r="EY30" i="2"/>
  <c r="D65" i="18"/>
  <c r="DZ28" i="2" s="1"/>
  <c r="D12" i="5"/>
  <c r="E47"/>
  <c r="F47"/>
  <c r="C72"/>
  <c r="I14" i="2"/>
  <c r="AP26"/>
  <c r="AP25"/>
  <c r="AP24"/>
  <c r="AP22"/>
  <c r="AP17"/>
  <c r="AP14"/>
  <c r="AS26"/>
  <c r="AS22"/>
  <c r="AS21"/>
  <c r="D21" i="3"/>
  <c r="G11" i="1" s="1"/>
  <c r="D11" s="1"/>
  <c r="D5" i="3"/>
  <c r="G5" i="1" s="1"/>
  <c r="D129" i="3"/>
  <c r="G38" i="1" s="1"/>
  <c r="C96" i="12"/>
  <c r="EQ22" i="2" s="1"/>
  <c r="D7" i="16"/>
  <c r="E42" i="9"/>
  <c r="F42"/>
  <c r="D83" i="4"/>
  <c r="ER14" i="2" s="1"/>
  <c r="C83" i="4"/>
  <c r="D76"/>
  <c r="EL14" i="2" s="1"/>
  <c r="C76" i="4"/>
  <c r="D72"/>
  <c r="C72"/>
  <c r="EH14" i="2" s="1"/>
  <c r="D62" i="4"/>
  <c r="C62"/>
  <c r="EB14" i="2" s="1"/>
  <c r="C60" i="4"/>
  <c r="D52"/>
  <c r="D36" i="16"/>
  <c r="D139" i="3"/>
  <c r="G41" i="1" s="1"/>
  <c r="D16" i="3"/>
  <c r="D17" i="19"/>
  <c r="D32" i="5"/>
  <c r="BF15" i="2" s="1"/>
  <c r="D66" i="11"/>
  <c r="D64"/>
  <c r="D56"/>
  <c r="DK21" i="2" s="1"/>
  <c r="D86" i="7"/>
  <c r="ER17" i="2" s="1"/>
  <c r="D81" i="7"/>
  <c r="EO17" i="2" s="1"/>
  <c r="D79" i="7"/>
  <c r="EL17" i="2" s="1"/>
  <c r="D75" i="7"/>
  <c r="EI17" i="2" s="1"/>
  <c r="D70" i="7"/>
  <c r="D65"/>
  <c r="EC17" i="2" s="1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D88" i="3"/>
  <c r="G29" i="1" s="1"/>
  <c r="C139" i="3"/>
  <c r="D26" i="16"/>
  <c r="D7" i="4"/>
  <c r="D66" i="9"/>
  <c r="D56"/>
  <c r="AD23" i="2"/>
  <c r="I23"/>
  <c r="L23"/>
  <c r="I24"/>
  <c r="AD24"/>
  <c r="AQ28"/>
  <c r="AQ23"/>
  <c r="AQ20"/>
  <c r="AP21"/>
  <c r="AP15"/>
  <c r="C31" i="19"/>
  <c r="E43" i="14"/>
  <c r="F43"/>
  <c r="C26" i="6"/>
  <c r="C65" i="5"/>
  <c r="DE23" i="2"/>
  <c r="DE31" s="1"/>
  <c r="D77" i="17"/>
  <c r="EI27" i="2" s="1"/>
  <c r="D77" i="12"/>
  <c r="D71" i="9"/>
  <c r="E55" i="3"/>
  <c r="D23"/>
  <c r="G12" i="1" s="1"/>
  <c r="BU33" i="2"/>
  <c r="DF33"/>
  <c r="D47" i="3"/>
  <c r="D42"/>
  <c r="C88" i="17"/>
  <c r="EQ27" i="2" s="1"/>
  <c r="DP14"/>
  <c r="D26" i="17"/>
  <c r="D32" i="18"/>
  <c r="D14" i="4"/>
  <c r="C78" i="13"/>
  <c r="EK23" i="2" s="1"/>
  <c r="C26" i="11"/>
  <c r="C26" i="8"/>
  <c r="C32" i="6"/>
  <c r="E67" i="18"/>
  <c r="C64" i="15"/>
  <c r="C80" i="8"/>
  <c r="E82"/>
  <c r="F82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EL22" i="2"/>
  <c r="EK22"/>
  <c r="D94" i="8"/>
  <c r="EU18" i="2" s="1"/>
  <c r="D65" i="6"/>
  <c r="D65" i="5"/>
  <c r="CO27" i="2"/>
  <c r="D80" i="11"/>
  <c r="EL21" i="2" s="1"/>
  <c r="D64" i="9"/>
  <c r="F44" i="17"/>
  <c r="F45"/>
  <c r="F47"/>
  <c r="F48"/>
  <c r="F49"/>
  <c r="F50"/>
  <c r="E44"/>
  <c r="E45"/>
  <c r="E47"/>
  <c r="E48"/>
  <c r="E49"/>
  <c r="E50"/>
  <c r="D17" i="18"/>
  <c r="D12" i="3"/>
  <c r="CP21" i="2"/>
  <c r="E74" i="12"/>
  <c r="F74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C7" i="4"/>
  <c r="D12" i="11"/>
  <c r="C129" i="3"/>
  <c r="F38" i="1" s="1"/>
  <c r="C124" i="3"/>
  <c r="F37" i="1" s="1"/>
  <c r="D121" i="3"/>
  <c r="G36" i="1" s="1"/>
  <c r="C121" i="3"/>
  <c r="F36" i="1" s="1"/>
  <c r="C132" i="3"/>
  <c r="E132" s="1"/>
  <c r="D113"/>
  <c r="F32" i="1"/>
  <c r="D96" i="3"/>
  <c r="G30" i="1" s="1"/>
  <c r="E98" i="3"/>
  <c r="C88"/>
  <c r="F29" i="1" s="1"/>
  <c r="C7" i="3"/>
  <c r="F6" i="1" s="1"/>
  <c r="D12" i="6"/>
  <c r="C89" i="9"/>
  <c r="EN19" i="2" s="1"/>
  <c r="D67" i="17"/>
  <c r="EC27" i="2" s="1"/>
  <c r="F77" i="11"/>
  <c r="F78"/>
  <c r="E77"/>
  <c r="E78"/>
  <c r="D89" i="9"/>
  <c r="EO19" i="2" s="1"/>
  <c r="F85" i="9"/>
  <c r="F86"/>
  <c r="F87"/>
  <c r="F88"/>
  <c r="F90"/>
  <c r="E85"/>
  <c r="E86"/>
  <c r="E87"/>
  <c r="E88"/>
  <c r="E90"/>
  <c r="D7" i="3"/>
  <c r="G6" i="1" s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C26"/>
  <c r="F27"/>
  <c r="E28"/>
  <c r="F28"/>
  <c r="C29"/>
  <c r="D29"/>
  <c r="E30"/>
  <c r="F30"/>
  <c r="E32"/>
  <c r="F32"/>
  <c r="E33"/>
  <c r="F33"/>
  <c r="C34"/>
  <c r="BQ29" i="2" s="1"/>
  <c r="D34" i="19"/>
  <c r="BR29" i="2" s="1"/>
  <c r="E35" i="19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C63"/>
  <c r="D63"/>
  <c r="EC29" i="2" s="1"/>
  <c r="E64" i="19"/>
  <c r="F64"/>
  <c r="E65"/>
  <c r="F65"/>
  <c r="E66"/>
  <c r="F66"/>
  <c r="E67"/>
  <c r="F67"/>
  <c r="E69"/>
  <c r="F69"/>
  <c r="E70"/>
  <c r="F70"/>
  <c r="E72"/>
  <c r="F72"/>
  <c r="D73"/>
  <c r="EI29" i="2" s="1"/>
  <c r="E74" i="19"/>
  <c r="F74"/>
  <c r="E75"/>
  <c r="F75"/>
  <c r="E76"/>
  <c r="C77"/>
  <c r="D77"/>
  <c r="EL29" i="2" s="1"/>
  <c r="E78" i="19"/>
  <c r="F78"/>
  <c r="C79"/>
  <c r="EN29" i="2" s="1"/>
  <c r="D79" i="19"/>
  <c r="EO29" i="2" s="1"/>
  <c r="E80" i="19"/>
  <c r="F80"/>
  <c r="E81"/>
  <c r="F81"/>
  <c r="E82"/>
  <c r="F82"/>
  <c r="F83"/>
  <c r="C84"/>
  <c r="EQ29" i="2" s="1"/>
  <c r="D84" i="19"/>
  <c r="ER29" i="2" s="1"/>
  <c r="E85" i="19"/>
  <c r="F85"/>
  <c r="E86"/>
  <c r="F86"/>
  <c r="E87"/>
  <c r="E88"/>
  <c r="E89"/>
  <c r="C90"/>
  <c r="D90"/>
  <c r="EU29" i="2" s="1"/>
  <c r="E91" i="19"/>
  <c r="F91"/>
  <c r="E92"/>
  <c r="F92"/>
  <c r="E93"/>
  <c r="F93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2"/>
  <c r="F42"/>
  <c r="E43"/>
  <c r="F43"/>
  <c r="C46"/>
  <c r="D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2"/>
  <c r="EF27" i="2" s="1"/>
  <c r="E74" i="17"/>
  <c r="F74"/>
  <c r="E75"/>
  <c r="F75"/>
  <c r="E76"/>
  <c r="F76"/>
  <c r="C77"/>
  <c r="EH27" i="2" s="1"/>
  <c r="E78" i="17"/>
  <c r="F78"/>
  <c r="E79"/>
  <c r="F79"/>
  <c r="E80"/>
  <c r="F80"/>
  <c r="D81"/>
  <c r="C83"/>
  <c r="D83"/>
  <c r="EO27" i="2" s="1"/>
  <c r="E84" i="17"/>
  <c r="F84"/>
  <c r="E85"/>
  <c r="F85"/>
  <c r="E86"/>
  <c r="F86"/>
  <c r="F87"/>
  <c r="D88"/>
  <c r="ER27" i="2" s="1"/>
  <c r="F89" i="17"/>
  <c r="E90"/>
  <c r="F90"/>
  <c r="E91"/>
  <c r="E92"/>
  <c r="E93"/>
  <c r="C94"/>
  <c r="ET27" i="2" s="1"/>
  <c r="D94" i="17"/>
  <c r="EU27" i="2" s="1"/>
  <c r="E95" i="17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2"/>
  <c r="F72"/>
  <c r="E73"/>
  <c r="F73"/>
  <c r="E74"/>
  <c r="F74"/>
  <c r="C75"/>
  <c r="EH26" i="2" s="1"/>
  <c r="E76" i="16"/>
  <c r="F76"/>
  <c r="E77"/>
  <c r="F77"/>
  <c r="E78"/>
  <c r="F78"/>
  <c r="C79"/>
  <c r="EK26" i="2" s="1"/>
  <c r="D79" i="16"/>
  <c r="EL26" i="2" s="1"/>
  <c r="E80" i="16"/>
  <c r="F80"/>
  <c r="C81"/>
  <c r="EN26" i="2" s="1"/>
  <c r="D81" i="16"/>
  <c r="E82"/>
  <c r="F82"/>
  <c r="E83"/>
  <c r="F83"/>
  <c r="E84"/>
  <c r="F84"/>
  <c r="F85"/>
  <c r="C86"/>
  <c r="EQ26" i="2" s="1"/>
  <c r="D86" i="16"/>
  <c r="F87"/>
  <c r="E88"/>
  <c r="F88"/>
  <c r="E89"/>
  <c r="E90"/>
  <c r="E91"/>
  <c r="C92"/>
  <c r="ET26" i="2" s="1"/>
  <c r="D92" i="16"/>
  <c r="EU26" i="2" s="1"/>
  <c r="E93" i="16"/>
  <c r="F93"/>
  <c r="E94"/>
  <c r="F94"/>
  <c r="E95"/>
  <c r="F95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E30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C66"/>
  <c r="E67"/>
  <c r="F67"/>
  <c r="E68"/>
  <c r="F68"/>
  <c r="E69"/>
  <c r="F69"/>
  <c r="E70"/>
  <c r="F70"/>
  <c r="D71"/>
  <c r="EF25" i="2" s="1"/>
  <c r="E72" i="15"/>
  <c r="F72"/>
  <c r="E73"/>
  <c r="F73"/>
  <c r="F74"/>
  <c r="E75"/>
  <c r="F75"/>
  <c r="D76"/>
  <c r="EI25" i="2" s="1"/>
  <c r="E77" i="15"/>
  <c r="F77"/>
  <c r="E78"/>
  <c r="F78"/>
  <c r="C80"/>
  <c r="EK25" i="2" s="1"/>
  <c r="D80" i="15"/>
  <c r="EL25" i="2" s="1"/>
  <c r="E81" i="15"/>
  <c r="F81"/>
  <c r="C82"/>
  <c r="EN25" i="2" s="1"/>
  <c r="D82" i="15"/>
  <c r="C87"/>
  <c r="EQ25" i="2" s="1"/>
  <c r="E88" i="15"/>
  <c r="F88"/>
  <c r="E89"/>
  <c r="F89"/>
  <c r="E90"/>
  <c r="E91"/>
  <c r="E92"/>
  <c r="C93"/>
  <c r="ET25" i="2" s="1"/>
  <c r="D93" i="15"/>
  <c r="EU25" i="2" s="1"/>
  <c r="E94" i="15"/>
  <c r="F94"/>
  <c r="E95"/>
  <c r="F95"/>
  <c r="E96"/>
  <c r="F96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E44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C66"/>
  <c r="EB24" i="2" s="1"/>
  <c r="E67" i="14"/>
  <c r="F67"/>
  <c r="E68"/>
  <c r="F68"/>
  <c r="E69"/>
  <c r="F69"/>
  <c r="F70"/>
  <c r="D71"/>
  <c r="EF24" i="2" s="1"/>
  <c r="E72" i="14"/>
  <c r="F72"/>
  <c r="E73"/>
  <c r="F73"/>
  <c r="E74"/>
  <c r="E75"/>
  <c r="F75"/>
  <c r="D76"/>
  <c r="EI24" i="2" s="1"/>
  <c r="E78" i="14"/>
  <c r="F78"/>
  <c r="E79"/>
  <c r="F79"/>
  <c r="EL24" i="2"/>
  <c r="E81" i="14"/>
  <c r="F81"/>
  <c r="C82"/>
  <c r="EN24" i="2" s="1"/>
  <c r="D82" i="14"/>
  <c r="EO24" i="2" s="1"/>
  <c r="E83" i="14"/>
  <c r="F83"/>
  <c r="E84"/>
  <c r="F84"/>
  <c r="E85"/>
  <c r="F85"/>
  <c r="F86"/>
  <c r="C87"/>
  <c r="EQ24" i="2" s="1"/>
  <c r="E88" i="14"/>
  <c r="F88"/>
  <c r="E89"/>
  <c r="F89"/>
  <c r="E90"/>
  <c r="E91"/>
  <c r="E92"/>
  <c r="C93"/>
  <c r="D93"/>
  <c r="EU24" i="2" s="1"/>
  <c r="E94" i="14"/>
  <c r="F94"/>
  <c r="E95"/>
  <c r="F95"/>
  <c r="E96"/>
  <c r="F96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C64"/>
  <c r="EB23" i="2" s="1"/>
  <c r="D64" i="13"/>
  <c r="EC23" i="2" s="1"/>
  <c r="E65" i="13"/>
  <c r="F65"/>
  <c r="E66"/>
  <c r="F66"/>
  <c r="E67"/>
  <c r="F67"/>
  <c r="E68"/>
  <c r="F68"/>
  <c r="C69"/>
  <c r="E71"/>
  <c r="F71"/>
  <c r="E72"/>
  <c r="F72"/>
  <c r="E73"/>
  <c r="F73"/>
  <c r="E75"/>
  <c r="F75"/>
  <c r="E76"/>
  <c r="F76"/>
  <c r="E77"/>
  <c r="F77"/>
  <c r="E79"/>
  <c r="C80"/>
  <c r="EN23" i="2" s="1"/>
  <c r="D80" i="13"/>
  <c r="E81"/>
  <c r="F81"/>
  <c r="E82"/>
  <c r="F82"/>
  <c r="E83"/>
  <c r="F83"/>
  <c r="F84"/>
  <c r="C85"/>
  <c r="EQ23" i="2" s="1"/>
  <c r="D85" i="13"/>
  <c r="ER23" i="2" s="1"/>
  <c r="E86" i="13"/>
  <c r="F86"/>
  <c r="E87"/>
  <c r="F87"/>
  <c r="E88"/>
  <c r="E89"/>
  <c r="E90"/>
  <c r="C91"/>
  <c r="ET23" i="2" s="1"/>
  <c r="D91" i="13"/>
  <c r="EU23" i="2" s="1"/>
  <c r="E92" i="13"/>
  <c r="F92"/>
  <c r="E93"/>
  <c r="F93"/>
  <c r="E94"/>
  <c r="F94"/>
  <c r="D5" i="12"/>
  <c r="D7"/>
  <c r="D12"/>
  <c r="D14"/>
  <c r="E14" s="1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C66"/>
  <c r="EB22" i="2" s="1"/>
  <c r="EC22"/>
  <c r="E67" i="12"/>
  <c r="F67"/>
  <c r="E68"/>
  <c r="F68"/>
  <c r="E69"/>
  <c r="F69"/>
  <c r="E70"/>
  <c r="F70"/>
  <c r="D71"/>
  <c r="EF22" i="2" s="1"/>
  <c r="F72" i="12"/>
  <c r="E73"/>
  <c r="F73"/>
  <c r="F75"/>
  <c r="F76"/>
  <c r="C77"/>
  <c r="EH22" i="2" s="1"/>
  <c r="E78" i="12"/>
  <c r="F78"/>
  <c r="E79"/>
  <c r="F79"/>
  <c r="E80"/>
  <c r="F80"/>
  <c r="E82"/>
  <c r="F82"/>
  <c r="C83"/>
  <c r="EN22" i="2" s="1"/>
  <c r="D83" i="12"/>
  <c r="EO22" i="2" s="1"/>
  <c r="E84" i="12"/>
  <c r="F84"/>
  <c r="E85"/>
  <c r="F85"/>
  <c r="E86"/>
  <c r="F86"/>
  <c r="F87"/>
  <c r="C88"/>
  <c r="D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E65"/>
  <c r="F65"/>
  <c r="C66"/>
  <c r="EB21" i="2" s="1"/>
  <c r="E67" i="11"/>
  <c r="F67"/>
  <c r="E68"/>
  <c r="F68"/>
  <c r="E69"/>
  <c r="F69"/>
  <c r="E70"/>
  <c r="F70"/>
  <c r="D71"/>
  <c r="EF21" i="2" s="1"/>
  <c r="E73" i="11"/>
  <c r="F73"/>
  <c r="E75"/>
  <c r="F75"/>
  <c r="C76"/>
  <c r="EH21" i="2" s="1"/>
  <c r="D76" i="11"/>
  <c r="E79"/>
  <c r="F79"/>
  <c r="F81"/>
  <c r="C82"/>
  <c r="EN21" i="2" s="1"/>
  <c r="D82" i="11"/>
  <c r="E83"/>
  <c r="F83"/>
  <c r="E84"/>
  <c r="F84"/>
  <c r="E85"/>
  <c r="F85"/>
  <c r="F86"/>
  <c r="C87"/>
  <c r="EQ21" i="2" s="1"/>
  <c r="D87" i="11"/>
  <c r="ER21" i="2" s="1"/>
  <c r="E88" i="11"/>
  <c r="F88"/>
  <c r="E89"/>
  <c r="F89"/>
  <c r="E90"/>
  <c r="E91"/>
  <c r="E92"/>
  <c r="C93"/>
  <c r="ET21" i="2" s="1"/>
  <c r="D93" i="11"/>
  <c r="EU21" i="2" s="1"/>
  <c r="E94" i="11"/>
  <c r="F94"/>
  <c r="E95"/>
  <c r="F95"/>
  <c r="E96"/>
  <c r="F96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C66"/>
  <c r="EB20" i="2" s="1"/>
  <c r="D66" i="10"/>
  <c r="EC20" i="2" s="1"/>
  <c r="E67" i="10"/>
  <c r="F67"/>
  <c r="E68"/>
  <c r="F68"/>
  <c r="E69"/>
  <c r="F69"/>
  <c r="E70"/>
  <c r="F70"/>
  <c r="D71"/>
  <c r="E72"/>
  <c r="F72"/>
  <c r="E73"/>
  <c r="E74"/>
  <c r="F74"/>
  <c r="E75"/>
  <c r="F75"/>
  <c r="C76"/>
  <c r="EH20" i="2" s="1"/>
  <c r="D76" i="10"/>
  <c r="E77"/>
  <c r="F77"/>
  <c r="E78"/>
  <c r="F78"/>
  <c r="E79"/>
  <c r="F79"/>
  <c r="E80"/>
  <c r="F80"/>
  <c r="C81"/>
  <c r="D81"/>
  <c r="EL20" i="2" s="1"/>
  <c r="E82" i="10"/>
  <c r="F82"/>
  <c r="C83"/>
  <c r="EN20" i="2" s="1"/>
  <c r="D83" i="10"/>
  <c r="EO20" i="2" s="1"/>
  <c r="E84" i="10"/>
  <c r="F84"/>
  <c r="E85"/>
  <c r="F85"/>
  <c r="E86"/>
  <c r="F86"/>
  <c r="F87"/>
  <c r="C88"/>
  <c r="EQ20" i="2" s="1"/>
  <c r="D88" i="10"/>
  <c r="ER20" i="2" s="1"/>
  <c r="E89" i="10"/>
  <c r="F89"/>
  <c r="E90"/>
  <c r="F90"/>
  <c r="E91"/>
  <c r="E92"/>
  <c r="E93"/>
  <c r="C94"/>
  <c r="ET20" i="2" s="1"/>
  <c r="D94" i="10"/>
  <c r="E95"/>
  <c r="F95"/>
  <c r="E96"/>
  <c r="F96"/>
  <c r="E97"/>
  <c r="F97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AS19" i="2" s="1"/>
  <c r="D26" i="9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7"/>
  <c r="F47"/>
  <c r="F48"/>
  <c r="E49"/>
  <c r="F49"/>
  <c r="C56"/>
  <c r="E58"/>
  <c r="F58"/>
  <c r="F59"/>
  <c r="E60"/>
  <c r="F60"/>
  <c r="E61"/>
  <c r="F61"/>
  <c r="E62"/>
  <c r="F62"/>
  <c r="E63"/>
  <c r="F63"/>
  <c r="C64"/>
  <c r="E65"/>
  <c r="F65"/>
  <c r="C66"/>
  <c r="EB19" i="2" s="1"/>
  <c r="E67" i="9"/>
  <c r="F67"/>
  <c r="E68"/>
  <c r="F68"/>
  <c r="E69"/>
  <c r="F69"/>
  <c r="E70"/>
  <c r="F70"/>
  <c r="C71"/>
  <c r="E72"/>
  <c r="F72"/>
  <c r="E73"/>
  <c r="F73"/>
  <c r="E75"/>
  <c r="F75"/>
  <c r="C76"/>
  <c r="D76"/>
  <c r="EI19" i="2" s="1"/>
  <c r="E77" i="9"/>
  <c r="F77"/>
  <c r="E78"/>
  <c r="F78"/>
  <c r="F79"/>
  <c r="E80"/>
  <c r="F80"/>
  <c r="C81"/>
  <c r="EK19" i="2" s="1"/>
  <c r="E82" i="9"/>
  <c r="F82"/>
  <c r="E83"/>
  <c r="F83"/>
  <c r="C84"/>
  <c r="D84"/>
  <c r="C91"/>
  <c r="D91"/>
  <c r="ER19" i="2" s="1"/>
  <c r="E92" i="9"/>
  <c r="F92"/>
  <c r="E93"/>
  <c r="F93"/>
  <c r="E94"/>
  <c r="E95"/>
  <c r="E96"/>
  <c r="C97"/>
  <c r="ET19" i="2" s="1"/>
  <c r="D97" i="9"/>
  <c r="EU19" i="2" s="1"/>
  <c r="E98" i="9"/>
  <c r="F98"/>
  <c r="E99"/>
  <c r="F99"/>
  <c r="E100"/>
  <c r="F100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1"/>
  <c r="EF18" i="2" s="1"/>
  <c r="E72" i="8"/>
  <c r="F72"/>
  <c r="F73"/>
  <c r="E74"/>
  <c r="F74"/>
  <c r="E75"/>
  <c r="F75"/>
  <c r="D76"/>
  <c r="EI18" i="2" s="1"/>
  <c r="E77" i="8"/>
  <c r="F77"/>
  <c r="E78"/>
  <c r="F78"/>
  <c r="E81"/>
  <c r="F81"/>
  <c r="C83"/>
  <c r="EN18" i="2" s="1"/>
  <c r="D83" i="8"/>
  <c r="E84"/>
  <c r="F84"/>
  <c r="E85"/>
  <c r="F85"/>
  <c r="E86"/>
  <c r="F86"/>
  <c r="F87"/>
  <c r="C88"/>
  <c r="EQ18" i="2" s="1"/>
  <c r="D88" i="8"/>
  <c r="ER18" i="2" s="1"/>
  <c r="E89" i="8"/>
  <c r="F89"/>
  <c r="E90"/>
  <c r="F90"/>
  <c r="E91"/>
  <c r="E92"/>
  <c r="E93"/>
  <c r="C94"/>
  <c r="ET18" i="2" s="1"/>
  <c r="E95" i="8"/>
  <c r="F95"/>
  <c r="E96"/>
  <c r="F96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1"/>
  <c r="F71"/>
  <c r="E73"/>
  <c r="F73"/>
  <c r="E74"/>
  <c r="F74"/>
  <c r="E76"/>
  <c r="F76"/>
  <c r="E77"/>
  <c r="F77"/>
  <c r="E78"/>
  <c r="C79"/>
  <c r="E80"/>
  <c r="F80"/>
  <c r="C81"/>
  <c r="E82"/>
  <c r="F82"/>
  <c r="E83"/>
  <c r="F83"/>
  <c r="E84"/>
  <c r="F84"/>
  <c r="F85"/>
  <c r="C86"/>
  <c r="EQ17" i="2" s="1"/>
  <c r="E87" i="7"/>
  <c r="F87"/>
  <c r="E88"/>
  <c r="F88"/>
  <c r="E89"/>
  <c r="E90"/>
  <c r="E91"/>
  <c r="C92"/>
  <c r="ET17" i="2" s="1"/>
  <c r="D92" i="7"/>
  <c r="E93"/>
  <c r="F93"/>
  <c r="E94"/>
  <c r="F94"/>
  <c r="E95"/>
  <c r="F95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D30"/>
  <c r="E31"/>
  <c r="F31"/>
  <c r="D32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EB16" i="2"/>
  <c r="E68" i="6"/>
  <c r="F68"/>
  <c r="E69"/>
  <c r="F69"/>
  <c r="E70"/>
  <c r="F70"/>
  <c r="E71"/>
  <c r="F71"/>
  <c r="D73"/>
  <c r="EF16" i="2" s="1"/>
  <c r="E74" i="6"/>
  <c r="F74"/>
  <c r="E75"/>
  <c r="F75"/>
  <c r="E77"/>
  <c r="F77"/>
  <c r="C80"/>
  <c r="D80"/>
  <c r="EI16" i="2" s="1"/>
  <c r="E81" i="6"/>
  <c r="F81"/>
  <c r="E82"/>
  <c r="F82"/>
  <c r="E83"/>
  <c r="F83"/>
  <c r="C84"/>
  <c r="EK16" i="2" s="1"/>
  <c r="D84" i="6"/>
  <c r="EL16" i="2" s="1"/>
  <c r="E85" i="6"/>
  <c r="F85"/>
  <c r="C86"/>
  <c r="EN16" i="2" s="1"/>
  <c r="D86" i="6"/>
  <c r="EO16" i="2" s="1"/>
  <c r="E87" i="6"/>
  <c r="F87"/>
  <c r="E88"/>
  <c r="F88"/>
  <c r="E89"/>
  <c r="F89"/>
  <c r="F90"/>
  <c r="C91"/>
  <c r="EQ16" i="2" s="1"/>
  <c r="D91" i="6"/>
  <c r="ER16" i="2" s="1"/>
  <c r="E92" i="6"/>
  <c r="F92"/>
  <c r="E93"/>
  <c r="F93"/>
  <c r="E94"/>
  <c r="E95"/>
  <c r="E96"/>
  <c r="C97"/>
  <c r="D97"/>
  <c r="EU16" i="2" s="1"/>
  <c r="E98" i="6"/>
  <c r="F98"/>
  <c r="E99"/>
  <c r="F99"/>
  <c r="E100"/>
  <c r="F100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C67"/>
  <c r="F67" s="1"/>
  <c r="E68"/>
  <c r="F68"/>
  <c r="E69"/>
  <c r="F69"/>
  <c r="E70"/>
  <c r="F70"/>
  <c r="E71"/>
  <c r="F71"/>
  <c r="D72"/>
  <c r="EF15" i="2" s="1"/>
  <c r="E73" i="5"/>
  <c r="F73"/>
  <c r="E74"/>
  <c r="F74"/>
  <c r="E75"/>
  <c r="E76"/>
  <c r="F76"/>
  <c r="C77"/>
  <c r="D77"/>
  <c r="EI15" i="2" s="1"/>
  <c r="E78" i="5"/>
  <c r="F78"/>
  <c r="E79"/>
  <c r="F79"/>
  <c r="E80"/>
  <c r="E81"/>
  <c r="F81"/>
  <c r="C82"/>
  <c r="EK15" i="2" s="1"/>
  <c r="D82" i="5"/>
  <c r="E83"/>
  <c r="F83"/>
  <c r="E84"/>
  <c r="F84"/>
  <c r="C85"/>
  <c r="EN15" i="2" s="1"/>
  <c r="D85" i="5"/>
  <c r="EO15" i="2" s="1"/>
  <c r="E86" i="5"/>
  <c r="F86"/>
  <c r="E87"/>
  <c r="F87"/>
  <c r="E88"/>
  <c r="F88"/>
  <c r="E89"/>
  <c r="F89"/>
  <c r="C90"/>
  <c r="EQ15" i="2" s="1"/>
  <c r="D90" i="5"/>
  <c r="ER15" i="2" s="1"/>
  <c r="E91" i="5"/>
  <c r="F91"/>
  <c r="E92"/>
  <c r="F92"/>
  <c r="E93"/>
  <c r="E94"/>
  <c r="E95"/>
  <c r="E96"/>
  <c r="F96"/>
  <c r="E97"/>
  <c r="F97"/>
  <c r="E98"/>
  <c r="F98"/>
  <c r="E99"/>
  <c r="F99"/>
  <c r="C5" i="4"/>
  <c r="D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E30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68"/>
  <c r="F68"/>
  <c r="E69"/>
  <c r="F69"/>
  <c r="E70"/>
  <c r="F70"/>
  <c r="E71"/>
  <c r="F71"/>
  <c r="E73"/>
  <c r="F73"/>
  <c r="E74"/>
  <c r="F74"/>
  <c r="E75"/>
  <c r="F75"/>
  <c r="E77"/>
  <c r="F77"/>
  <c r="E78"/>
  <c r="F78"/>
  <c r="E79"/>
  <c r="F79"/>
  <c r="E80"/>
  <c r="F80"/>
  <c r="E81"/>
  <c r="F81"/>
  <c r="F82"/>
  <c r="F84"/>
  <c r="E85"/>
  <c r="F85"/>
  <c r="E86"/>
  <c r="E87"/>
  <c r="E88"/>
  <c r="D89"/>
  <c r="E89" s="1"/>
  <c r="E90"/>
  <c r="F90"/>
  <c r="E91"/>
  <c r="F91"/>
  <c r="E92"/>
  <c r="F92"/>
  <c r="C5" i="3"/>
  <c r="E6"/>
  <c r="F6"/>
  <c r="E8"/>
  <c r="F8"/>
  <c r="E9"/>
  <c r="F9"/>
  <c r="E10"/>
  <c r="F10"/>
  <c r="F11"/>
  <c r="C12"/>
  <c r="E13"/>
  <c r="F13"/>
  <c r="E14"/>
  <c r="F14"/>
  <c r="E15"/>
  <c r="F15"/>
  <c r="C16"/>
  <c r="F9" i="1" s="1"/>
  <c r="E17" i="3"/>
  <c r="F17"/>
  <c r="E18"/>
  <c r="F18"/>
  <c r="E19"/>
  <c r="F19"/>
  <c r="E20"/>
  <c r="F20"/>
  <c r="C21"/>
  <c r="F11" i="1" s="1"/>
  <c r="C11" s="1"/>
  <c r="E22" i="3"/>
  <c r="F22"/>
  <c r="C23"/>
  <c r="F12" i="1" s="1"/>
  <c r="E24" i="3"/>
  <c r="F24"/>
  <c r="F25"/>
  <c r="E26"/>
  <c r="F26"/>
  <c r="C27"/>
  <c r="F13" i="1" s="1"/>
  <c r="D27" i="3"/>
  <c r="F28"/>
  <c r="F29"/>
  <c r="F30"/>
  <c r="F31"/>
  <c r="F34"/>
  <c r="F35"/>
  <c r="E36"/>
  <c r="F36"/>
  <c r="E37"/>
  <c r="F37"/>
  <c r="F38"/>
  <c r="E39"/>
  <c r="F39"/>
  <c r="C42"/>
  <c r="F16" i="1" s="1"/>
  <c r="C16" s="1"/>
  <c r="E43" i="3"/>
  <c r="F43"/>
  <c r="C44"/>
  <c r="F17" i="1" s="1"/>
  <c r="D44" i="3"/>
  <c r="G17" i="1" s="1"/>
  <c r="E45" i="3"/>
  <c r="F45"/>
  <c r="F46"/>
  <c r="C47"/>
  <c r="F18" i="1" s="1"/>
  <c r="D50" i="3"/>
  <c r="G19" i="1" s="1"/>
  <c r="D19" s="1"/>
  <c r="E48" i="3"/>
  <c r="F48"/>
  <c r="E49"/>
  <c r="F49"/>
  <c r="C50"/>
  <c r="E51"/>
  <c r="F51"/>
  <c r="E53"/>
  <c r="F53"/>
  <c r="E54"/>
  <c r="F54"/>
  <c r="F55"/>
  <c r="E56"/>
  <c r="F56"/>
  <c r="F57"/>
  <c r="E58"/>
  <c r="F58"/>
  <c r="E59"/>
  <c r="F59"/>
  <c r="F60"/>
  <c r="E61"/>
  <c r="F61"/>
  <c r="F62"/>
  <c r="E63"/>
  <c r="F63"/>
  <c r="E64"/>
  <c r="F64"/>
  <c r="E65"/>
  <c r="F65"/>
  <c r="E66"/>
  <c r="F66"/>
  <c r="E68"/>
  <c r="F68"/>
  <c r="C69"/>
  <c r="F70"/>
  <c r="F71"/>
  <c r="F74"/>
  <c r="F75"/>
  <c r="E76"/>
  <c r="F76"/>
  <c r="E77"/>
  <c r="F77"/>
  <c r="E78"/>
  <c r="F78"/>
  <c r="E79"/>
  <c r="F79"/>
  <c r="F80"/>
  <c r="E81"/>
  <c r="F81"/>
  <c r="F82"/>
  <c r="E89"/>
  <c r="F89"/>
  <c r="E90"/>
  <c r="F90"/>
  <c r="F91"/>
  <c r="E92"/>
  <c r="F92"/>
  <c r="F93"/>
  <c r="E94"/>
  <c r="F94"/>
  <c r="E95"/>
  <c r="F95"/>
  <c r="C96"/>
  <c r="E97"/>
  <c r="F97"/>
  <c r="E99"/>
  <c r="F99"/>
  <c r="E100"/>
  <c r="F100"/>
  <c r="E101"/>
  <c r="F101"/>
  <c r="F102"/>
  <c r="E105"/>
  <c r="F105"/>
  <c r="E106"/>
  <c r="F106"/>
  <c r="E107"/>
  <c r="F107"/>
  <c r="E108"/>
  <c r="F108"/>
  <c r="E110"/>
  <c r="F110"/>
  <c r="F111"/>
  <c r="F112"/>
  <c r="C113"/>
  <c r="F34" i="1" s="1"/>
  <c r="C34" s="1"/>
  <c r="E114" i="3"/>
  <c r="F114"/>
  <c r="E116"/>
  <c r="F116"/>
  <c r="E117"/>
  <c r="F117"/>
  <c r="E119"/>
  <c r="F119"/>
  <c r="E120"/>
  <c r="F120"/>
  <c r="E122"/>
  <c r="F122"/>
  <c r="E123"/>
  <c r="F123"/>
  <c r="E125"/>
  <c r="F125"/>
  <c r="E126"/>
  <c r="F126"/>
  <c r="E127"/>
  <c r="F127"/>
  <c r="E128"/>
  <c r="F128"/>
  <c r="E130"/>
  <c r="F130"/>
  <c r="E131"/>
  <c r="F131"/>
  <c r="E133"/>
  <c r="E134"/>
  <c r="C135"/>
  <c r="F39" i="1" s="1"/>
  <c r="C39" s="1"/>
  <c r="D135" i="3"/>
  <c r="E136"/>
  <c r="F136"/>
  <c r="C137"/>
  <c r="F40" i="1" s="1"/>
  <c r="C40" s="1"/>
  <c r="G40"/>
  <c r="D40" s="1"/>
  <c r="F138" i="3"/>
  <c r="E140"/>
  <c r="F140"/>
  <c r="E141"/>
  <c r="F141"/>
  <c r="E142"/>
  <c r="F142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P14"/>
  <c r="BV14"/>
  <c r="BV31" s="1"/>
  <c r="BV35" s="1"/>
  <c r="BY14"/>
  <c r="BY31" s="1"/>
  <c r="CC14"/>
  <c r="CF14"/>
  <c r="CG14"/>
  <c r="CJ14"/>
  <c r="CL14"/>
  <c r="CM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A16"/>
  <c r="BE16"/>
  <c r="BF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C17"/>
  <c r="CF17"/>
  <c r="CG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O18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V19"/>
  <c r="BY19"/>
  <c r="CD19"/>
  <c r="CF19"/>
  <c r="CG19"/>
  <c r="CJ19"/>
  <c r="CL19"/>
  <c r="CM19"/>
  <c r="CP19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F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P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B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A29"/>
  <c r="BE29"/>
  <c r="BJ29"/>
  <c r="BP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5" s="1"/>
  <c r="AW31"/>
  <c r="AW33" s="1"/>
  <c r="BT31"/>
  <c r="BT35" s="1"/>
  <c r="BW31"/>
  <c r="BW35" s="1"/>
  <c r="BX31"/>
  <c r="BX33" s="1"/>
  <c r="CU31"/>
  <c r="CU35" s="1"/>
  <c r="CX31"/>
  <c r="CX35" s="1"/>
  <c r="CY31"/>
  <c r="CY35" s="1"/>
  <c r="DA31"/>
  <c r="DA33" s="1"/>
  <c r="DD31"/>
  <c r="DD35" s="1"/>
  <c r="C22" i="1"/>
  <c r="D22"/>
  <c r="E24"/>
  <c r="F24"/>
  <c r="F26"/>
  <c r="C26" s="1"/>
  <c r="G26"/>
  <c r="D26" s="1"/>
  <c r="E32"/>
  <c r="E33"/>
  <c r="E36"/>
  <c r="AO22" i="2"/>
  <c r="AO29"/>
  <c r="AO27"/>
  <c r="AO26"/>
  <c r="F38" i="6"/>
  <c r="BS14" i="2"/>
  <c r="E29" i="1"/>
  <c r="G37"/>
  <c r="E72" i="11"/>
  <c r="E58" i="12"/>
  <c r="F58"/>
  <c r="C56"/>
  <c r="DM22" i="2"/>
  <c r="F77" i="14"/>
  <c r="C76"/>
  <c r="EH24" i="2" s="1"/>
  <c r="E77" i="14"/>
  <c r="F79" i="15"/>
  <c r="C76"/>
  <c r="EH25" i="2" s="1"/>
  <c r="E79" i="15"/>
  <c r="F74" i="18"/>
  <c r="E74"/>
  <c r="C68" i="19"/>
  <c r="F71"/>
  <c r="E71"/>
  <c r="E41" i="6"/>
  <c r="E74" i="9"/>
  <c r="F74" i="11"/>
  <c r="F73" i="3"/>
  <c r="E73"/>
  <c r="E76" i="12"/>
  <c r="F73" i="17"/>
  <c r="C72"/>
  <c r="EE27" i="2" s="1"/>
  <c r="E73" i="17"/>
  <c r="E79" i="8"/>
  <c r="F79"/>
  <c r="E73"/>
  <c r="CC20" i="2"/>
  <c r="E31" i="1"/>
  <c r="C71" i="12"/>
  <c r="C38" i="19"/>
  <c r="F39"/>
  <c r="F139" i="3" l="1"/>
  <c r="F17" i="14"/>
  <c r="C98" i="12"/>
  <c r="D98"/>
  <c r="D25"/>
  <c r="V31" i="2"/>
  <c r="V35" s="1"/>
  <c r="EQ14"/>
  <c r="ES14" s="1"/>
  <c r="C93" i="4"/>
  <c r="D25" i="11"/>
  <c r="F40"/>
  <c r="C25"/>
  <c r="D93" i="4"/>
  <c r="K27" i="2"/>
  <c r="F60" i="4"/>
  <c r="H9" i="1"/>
  <c r="E17" i="19"/>
  <c r="F80" i="14"/>
  <c r="AZ23" i="2"/>
  <c r="BA23" s="1"/>
  <c r="D25" i="13"/>
  <c r="E40" i="9"/>
  <c r="EB15" i="2"/>
  <c r="ED15" s="1"/>
  <c r="E5" i="12"/>
  <c r="F55" i="16"/>
  <c r="E40" i="8"/>
  <c r="CK27" i="2"/>
  <c r="E69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1" i="12"/>
  <c r="CQ20" i="2"/>
  <c r="E5" i="8"/>
  <c r="F26" i="5"/>
  <c r="E96" i="3"/>
  <c r="E69"/>
  <c r="F26" i="12"/>
  <c r="AR22" i="2"/>
  <c r="F41" i="5"/>
  <c r="F7" i="12"/>
  <c r="E37" i="5"/>
  <c r="C25"/>
  <c r="CH23" i="2"/>
  <c r="Z20"/>
  <c r="F113" i="3"/>
  <c r="E54" i="13"/>
  <c r="N22" i="2"/>
  <c r="F14" i="11"/>
  <c r="DO18" i="2"/>
  <c r="K17"/>
  <c r="E124" i="3"/>
  <c r="AF14" i="2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0"/>
  <c r="F20"/>
  <c r="DU29" i="2"/>
  <c r="AF28"/>
  <c r="E26" i="17"/>
  <c r="E26" i="14"/>
  <c r="E66"/>
  <c r="CN23" i="2"/>
  <c r="EA23"/>
  <c r="W21"/>
  <c r="E37" i="11"/>
  <c r="EA21" i="2"/>
  <c r="N21"/>
  <c r="F14" i="9"/>
  <c r="E89"/>
  <c r="CN18" i="2"/>
  <c r="F56" i="8"/>
  <c r="E7"/>
  <c r="W18" i="2"/>
  <c r="E34" i="7"/>
  <c r="F67" i="6"/>
  <c r="E35" i="5"/>
  <c r="E32"/>
  <c r="E67"/>
  <c r="DU15" i="2"/>
  <c r="CN15"/>
  <c r="F57" i="5"/>
  <c r="C4"/>
  <c r="BN15" i="2"/>
  <c r="F15" s="1"/>
  <c r="F35" i="5"/>
  <c r="F30"/>
  <c r="AU14" i="2"/>
  <c r="F34" i="4"/>
  <c r="F17"/>
  <c r="F5"/>
  <c r="F41" i="1"/>
  <c r="H41" s="1"/>
  <c r="F69" i="3"/>
  <c r="DD33" i="2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3" i="11"/>
  <c r="F40" i="9"/>
  <c r="E20"/>
  <c r="F36"/>
  <c r="F84"/>
  <c r="AU19" i="2"/>
  <c r="F7" i="8"/>
  <c r="ES18" i="2"/>
  <c r="F14" i="8"/>
  <c r="F79" i="7"/>
  <c r="E37" i="6"/>
  <c r="E35"/>
  <c r="CE15" i="2"/>
  <c r="AF15"/>
  <c r="W15"/>
  <c r="EP15"/>
  <c r="E83" i="4"/>
  <c r="E72"/>
  <c r="D4"/>
  <c r="G31" i="1"/>
  <c r="E129" i="3"/>
  <c r="F7" i="19"/>
  <c r="BA27" i="2"/>
  <c r="F31" i="16"/>
  <c r="E29"/>
  <c r="F31" i="15"/>
  <c r="F29"/>
  <c r="E20"/>
  <c r="AI24" i="2"/>
  <c r="CK23"/>
  <c r="E26" i="13"/>
  <c r="CH22" i="2"/>
  <c r="F93" i="11"/>
  <c r="F37"/>
  <c r="E7"/>
  <c r="DJ20" i="2"/>
  <c r="CT20"/>
  <c r="E26" i="10"/>
  <c r="F20"/>
  <c r="E12"/>
  <c r="BG19" i="2"/>
  <c r="BZ18"/>
  <c r="E14" i="8"/>
  <c r="T18" i="2"/>
  <c r="BP18"/>
  <c r="F80" i="8"/>
  <c r="F17" i="7"/>
  <c r="DJ16" i="2"/>
  <c r="F37" i="6"/>
  <c r="F86"/>
  <c r="C4"/>
  <c r="DR15" i="2"/>
  <c r="BO15"/>
  <c r="F20" i="5"/>
  <c r="DX14" i="2"/>
  <c r="CE14"/>
  <c r="E7" i="19"/>
  <c r="D4"/>
  <c r="E34"/>
  <c r="AC29" i="2"/>
  <c r="DK29"/>
  <c r="DH29" s="1"/>
  <c r="E84" i="18"/>
  <c r="F77" i="17"/>
  <c r="C25"/>
  <c r="E31"/>
  <c r="AI27" i="2"/>
  <c r="E81" i="16"/>
  <c r="W26" i="2"/>
  <c r="C4" i="16"/>
  <c r="E26"/>
  <c r="E12"/>
  <c r="AZ25" i="2"/>
  <c r="G25" s="1"/>
  <c r="E31" i="15"/>
  <c r="F20"/>
  <c r="F26" i="14"/>
  <c r="E82"/>
  <c r="DK24" i="2"/>
  <c r="DH24" s="1"/>
  <c r="F91" i="13"/>
  <c r="F23" i="2"/>
  <c r="DO23"/>
  <c r="F54" i="13"/>
  <c r="D95"/>
  <c r="F85"/>
  <c r="D4"/>
  <c r="F77" i="12"/>
  <c r="EI22" i="2"/>
  <c r="EJ22" s="1"/>
  <c r="E29" i="12"/>
  <c r="DO22" i="2"/>
  <c r="F29" i="12"/>
  <c r="DR22" i="2"/>
  <c r="E64" i="12"/>
  <c r="F37"/>
  <c r="E77"/>
  <c r="E12"/>
  <c r="F7" i="11"/>
  <c r="F83" i="10"/>
  <c r="E7"/>
  <c r="E66"/>
  <c r="AF20" i="2"/>
  <c r="AR20"/>
  <c r="F20" i="9"/>
  <c r="CK19" i="2"/>
  <c r="F64" i="9"/>
  <c r="DK19" i="2"/>
  <c r="DX19"/>
  <c r="Q19"/>
  <c r="CQ19"/>
  <c r="K19"/>
  <c r="E66" i="8"/>
  <c r="CE18" i="2"/>
  <c r="K18"/>
  <c r="BL31"/>
  <c r="BL33" s="1"/>
  <c r="E88" i="8"/>
  <c r="EA18" i="2"/>
  <c r="AR18"/>
  <c r="BZ16"/>
  <c r="E7" i="6"/>
  <c r="E32"/>
  <c r="F12"/>
  <c r="F85" i="5"/>
  <c r="E20"/>
  <c r="DO15" i="2"/>
  <c r="E20" i="4"/>
  <c r="CK14" i="2"/>
  <c r="Z14"/>
  <c r="C25" i="4"/>
  <c r="E14"/>
  <c r="E7"/>
  <c r="F31"/>
  <c r="F104" i="3"/>
  <c r="F47"/>
  <c r="CU33" i="2"/>
  <c r="F29" i="19"/>
  <c r="E29"/>
  <c r="E12"/>
  <c r="E26"/>
  <c r="AI29" i="2"/>
  <c r="F31" i="19"/>
  <c r="E90"/>
  <c r="DO29" i="2"/>
  <c r="W29"/>
  <c r="E17" i="18"/>
  <c r="E7"/>
  <c r="Z28" i="2"/>
  <c r="E77" i="17"/>
  <c r="E46"/>
  <c r="DX27" i="2"/>
  <c r="E34" i="17"/>
  <c r="EV27" i="2"/>
  <c r="F31" i="17"/>
  <c r="W27" i="2"/>
  <c r="E94" i="17"/>
  <c r="F94"/>
  <c r="BS27" i="2"/>
  <c r="E86" i="16"/>
  <c r="E55"/>
  <c r="F92"/>
  <c r="EO26" i="2"/>
  <c r="EP26" s="1"/>
  <c r="BO26"/>
  <c r="BP26" s="1"/>
  <c r="ER26"/>
  <c r="ER31" s="1"/>
  <c r="J38" i="1" s="1"/>
  <c r="D38" s="1"/>
  <c r="N26" i="2"/>
  <c r="F26" i="16"/>
  <c r="BA26" i="2"/>
  <c r="F34" i="16"/>
  <c r="F37"/>
  <c r="F29"/>
  <c r="F12"/>
  <c r="F7"/>
  <c r="EV25" i="2"/>
  <c r="F56" i="15"/>
  <c r="E41"/>
  <c r="F93"/>
  <c r="EB25" i="2"/>
  <c r="ED25" s="1"/>
  <c r="K25"/>
  <c r="E87" i="15"/>
  <c r="E56"/>
  <c r="DX25" i="2"/>
  <c r="EJ24"/>
  <c r="E17" i="14"/>
  <c r="BQ24" i="2"/>
  <c r="BS24" s="1"/>
  <c r="F64" i="14"/>
  <c r="E87"/>
  <c r="BZ24" i="2"/>
  <c r="N24"/>
  <c r="F5" i="14"/>
  <c r="AR24" i="2"/>
  <c r="E64" i="13"/>
  <c r="F26"/>
  <c r="BZ23" i="2"/>
  <c r="AI23"/>
  <c r="AR23"/>
  <c r="E88" i="12"/>
  <c r="F71"/>
  <c r="F96"/>
  <c r="E96"/>
  <c r="AZ22" i="2"/>
  <c r="BA22" s="1"/>
  <c r="F82" i="11"/>
  <c r="EO21" i="2"/>
  <c r="EP21" s="1"/>
  <c r="E87" i="11"/>
  <c r="AF21" i="2"/>
  <c r="AJ31"/>
  <c r="AJ35" s="1"/>
  <c r="K21"/>
  <c r="ES20"/>
  <c r="F66" i="10"/>
  <c r="F76"/>
  <c r="F7"/>
  <c r="DO20" i="2"/>
  <c r="E29" i="10"/>
  <c r="E20"/>
  <c r="E14"/>
  <c r="E84" i="9"/>
  <c r="E64"/>
  <c r="DO19" i="2"/>
  <c r="E34" i="9"/>
  <c r="F26"/>
  <c r="D97" i="8"/>
  <c r="EV18" i="2"/>
  <c r="EJ18"/>
  <c r="F20" i="8"/>
  <c r="E94"/>
  <c r="F34"/>
  <c r="BK31" i="2"/>
  <c r="BK33" s="1"/>
  <c r="E20" i="7"/>
  <c r="O31" i="2"/>
  <c r="O35" s="1"/>
  <c r="E86" i="7"/>
  <c r="AU17" i="2"/>
  <c r="F92" i="7"/>
  <c r="E65"/>
  <c r="ES16" i="2"/>
  <c r="E20" i="6"/>
  <c r="BO16" i="2"/>
  <c r="BP16" s="1"/>
  <c r="E91" i="6"/>
  <c r="DR16" i="2"/>
  <c r="E12" i="6"/>
  <c r="DU16" i="2"/>
  <c r="AI16"/>
  <c r="AC16"/>
  <c r="W16"/>
  <c r="C100" i="5"/>
  <c r="D100"/>
  <c r="EV15" i="2"/>
  <c r="BC35"/>
  <c r="BC33"/>
  <c r="E12" i="4"/>
  <c r="F89"/>
  <c r="F20"/>
  <c r="E23" i="3"/>
  <c r="D143"/>
  <c r="F7"/>
  <c r="F109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5" s="1"/>
  <c r="E17" i="4"/>
  <c r="C4"/>
  <c r="F82" i="5"/>
  <c r="EP16" i="2"/>
  <c r="E80" i="6"/>
  <c r="C25"/>
  <c r="F17"/>
  <c r="F86" i="7"/>
  <c r="F29"/>
  <c r="F5"/>
  <c r="E56" i="8"/>
  <c r="E17"/>
  <c r="E76" i="9"/>
  <c r="F31"/>
  <c r="C4"/>
  <c r="E81" i="10"/>
  <c r="F56"/>
  <c r="E36"/>
  <c r="E17"/>
  <c r="F76" i="11"/>
  <c r="E17"/>
  <c r="E20" i="13"/>
  <c r="E31" i="14"/>
  <c r="E29"/>
  <c r="C25" i="15"/>
  <c r="E12"/>
  <c r="F86" i="16"/>
  <c r="F14"/>
  <c r="F88" i="17"/>
  <c r="E12"/>
  <c r="C4"/>
  <c r="E5"/>
  <c r="E20" i="18"/>
  <c r="E5" i="19"/>
  <c r="C4" i="14"/>
  <c r="F12" i="3"/>
  <c r="F31" i="13"/>
  <c r="E71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7" i="4"/>
  <c r="F76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4" i="19"/>
  <c r="C25"/>
  <c r="E113" i="3"/>
  <c r="E7" i="9"/>
  <c r="F26" i="17"/>
  <c r="Z24" i="2"/>
  <c r="Z16"/>
  <c r="F65" i="7"/>
  <c r="D4" i="5"/>
  <c r="E5" i="15"/>
  <c r="D25" i="19"/>
  <c r="BZ17" i="2"/>
  <c r="BZ21"/>
  <c r="ED18"/>
  <c r="F5" i="6"/>
  <c r="DK22" i="2"/>
  <c r="BA20"/>
  <c r="AR17"/>
  <c r="E71" i="8"/>
  <c r="D97" i="11"/>
  <c r="F56"/>
  <c r="F56" i="9"/>
  <c r="E56" i="12"/>
  <c r="F57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8" i="19"/>
  <c r="BZ29" i="2"/>
  <c r="E37" i="18"/>
  <c r="E38" i="19"/>
  <c r="F17" i="17"/>
  <c r="DQ31" i="2"/>
  <c r="DQ33" s="1"/>
  <c r="D4" i="16"/>
  <c r="F7" i="18"/>
  <c r="BZ27" i="2"/>
  <c r="CN27"/>
  <c r="DT31"/>
  <c r="DT33" s="1"/>
  <c r="AG31"/>
  <c r="I12" i="1" s="1"/>
  <c r="C12" s="1"/>
  <c r="I31" i="2"/>
  <c r="I35" s="1"/>
  <c r="D96" i="16"/>
  <c r="EG27" i="2"/>
  <c r="DO26"/>
  <c r="CP31"/>
  <c r="CP35" s="1"/>
  <c r="D99" i="18"/>
  <c r="H33" i="1"/>
  <c r="H6"/>
  <c r="F124" i="3"/>
  <c r="E139"/>
  <c r="D25" i="16"/>
  <c r="D39" s="1"/>
  <c r="D50" s="1"/>
  <c r="G50" s="1"/>
  <c r="BR26" i="2"/>
  <c r="AQ31"/>
  <c r="AQ33" s="1"/>
  <c r="D4" i="3"/>
  <c r="EM25" i="2"/>
  <c r="DJ25"/>
  <c r="W25"/>
  <c r="E82" i="15"/>
  <c r="D25"/>
  <c r="E64" i="14"/>
  <c r="AE31" i="2"/>
  <c r="AE35" s="1"/>
  <c r="CL31"/>
  <c r="CL33" s="1"/>
  <c r="D97" i="15"/>
  <c r="F76" i="14"/>
  <c r="E41"/>
  <c r="BZ25" i="2"/>
  <c r="E80" i="15"/>
  <c r="DP31" i="2"/>
  <c r="DP35" s="1"/>
  <c r="DJ24"/>
  <c r="F64" i="15"/>
  <c r="H24" i="1"/>
  <c r="E47" i="3"/>
  <c r="BY35" i="2"/>
  <c r="BY33"/>
  <c r="EM26"/>
  <c r="BI33"/>
  <c r="F76" i="15"/>
  <c r="Z21" i="2"/>
  <c r="E76" i="8"/>
  <c r="AC15" i="2"/>
  <c r="EU14"/>
  <c r="EV14" s="1"/>
  <c r="ES17"/>
  <c r="E7" i="13"/>
  <c r="F34" i="9"/>
  <c r="E34" i="15"/>
  <c r="F95" i="18"/>
  <c r="DO17" i="2"/>
  <c r="F89" i="9"/>
  <c r="F44" i="3"/>
  <c r="G34" i="1"/>
  <c r="G7"/>
  <c r="BF29" i="2"/>
  <c r="G29" s="1"/>
  <c r="EC26"/>
  <c r="EO25"/>
  <c r="EP25" s="1"/>
  <c r="N23"/>
  <c r="EC16"/>
  <c r="ED16" s="1"/>
  <c r="F26" i="6"/>
  <c r="DJ26" i="2"/>
  <c r="AN31"/>
  <c r="AN33" s="1"/>
  <c r="E63" i="16"/>
  <c r="E84" i="19"/>
  <c r="AW35" i="2"/>
  <c r="E66" i="12"/>
  <c r="F66"/>
  <c r="F80" i="15"/>
  <c r="F137" i="3"/>
  <c r="F64" i="13"/>
  <c r="F71" i="8"/>
  <c r="C97"/>
  <c r="D97" i="14"/>
  <c r="E78" i="13"/>
  <c r="E20" i="12"/>
  <c r="F82" i="15"/>
  <c r="E90" i="5"/>
  <c r="F17" i="15"/>
  <c r="EU17" i="2"/>
  <c r="EV17" s="1"/>
  <c r="E84" i="6"/>
  <c r="E16" i="3"/>
  <c r="F32" i="6"/>
  <c r="CK17" i="2"/>
  <c r="CY33"/>
  <c r="E17" i="6"/>
  <c r="EL15" i="2"/>
  <c r="EM15" s="1"/>
  <c r="F36" i="10"/>
  <c r="K29" i="2"/>
  <c r="F26" i="7"/>
  <c r="E7" i="16"/>
  <c r="E104" i="3"/>
  <c r="F26" i="15"/>
  <c r="E31" i="9"/>
  <c r="D4" i="15"/>
  <c r="E52" i="3"/>
  <c r="E109"/>
  <c r="AP29" i="2"/>
  <c r="AR29" s="1"/>
  <c r="E29" i="15"/>
  <c r="F23" i="3"/>
  <c r="F33"/>
  <c r="D25" i="9"/>
  <c r="F81" i="7"/>
  <c r="F34" i="15"/>
  <c r="E91" i="13"/>
  <c r="F17" i="18"/>
  <c r="DR14" i="2"/>
  <c r="F17" i="11"/>
  <c r="F84" i="6"/>
  <c r="F74" i="13"/>
  <c r="F79" i="16"/>
  <c r="F61" i="19"/>
  <c r="E14" i="18"/>
  <c r="F20" i="14"/>
  <c r="Q25" i="2"/>
  <c r="CK25"/>
  <c r="Z22"/>
  <c r="EK20"/>
  <c r="EM20" s="1"/>
  <c r="EH16"/>
  <c r="EJ16" s="1"/>
  <c r="E56" i="9"/>
  <c r="F7"/>
  <c r="E64" i="15"/>
  <c r="F78" i="13"/>
  <c r="E92" i="7"/>
  <c r="E5" i="6"/>
  <c r="D25" i="10"/>
  <c r="DN31" i="2"/>
  <c r="DN35" s="1"/>
  <c r="E37" i="12"/>
  <c r="F64"/>
  <c r="EC28" i="2"/>
  <c r="AU24"/>
  <c r="AR16"/>
  <c r="E65" i="6"/>
  <c r="DJ18" i="2"/>
  <c r="F17" i="19"/>
  <c r="E29" i="4"/>
  <c r="E79" i="16"/>
  <c r="E97" i="9"/>
  <c r="DJ19" i="2"/>
  <c r="F14" i="4"/>
  <c r="E76" i="15"/>
  <c r="E93"/>
  <c r="E81" i="12"/>
  <c r="E77" i="19"/>
  <c r="C25" i="12"/>
  <c r="F29" i="10"/>
  <c r="E83"/>
  <c r="F66" i="8"/>
  <c r="E82" i="5"/>
  <c r="ES25" i="2"/>
  <c r="C4" i="13"/>
  <c r="E33" i="3"/>
  <c r="F21" i="1"/>
  <c r="F66" i="14"/>
  <c r="E95" i="18"/>
  <c r="F34" i="19"/>
  <c r="CK29" i="2"/>
  <c r="DO24"/>
  <c r="CK24"/>
  <c r="AU23"/>
  <c r="CS3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F28"/>
  <c r="CN29"/>
  <c r="AF16"/>
  <c r="F97" i="6"/>
  <c r="E7" i="3"/>
  <c r="N28" i="2"/>
  <c r="F129" i="3"/>
  <c r="D96" i="7"/>
  <c r="AI28" i="2"/>
  <c r="CN21"/>
  <c r="K14"/>
  <c r="EA28"/>
  <c r="CK21"/>
  <c r="F57" i="6"/>
  <c r="F7"/>
  <c r="DM31" i="2"/>
  <c r="DM35" s="1"/>
  <c r="J31"/>
  <c r="J35" s="1"/>
  <c r="CE26"/>
  <c r="CA26"/>
  <c r="CA29"/>
  <c r="CA28"/>
  <c r="CA27"/>
  <c r="CO31"/>
  <c r="CO35" s="1"/>
  <c r="CA24"/>
  <c r="CA23"/>
  <c r="EP22"/>
  <c r="CF31"/>
  <c r="CF35" s="1"/>
  <c r="CA22"/>
  <c r="AD31"/>
  <c r="I10" i="1" s="1"/>
  <c r="C10" s="1"/>
  <c r="L31" i="2"/>
  <c r="L35" s="1"/>
  <c r="AC22"/>
  <c r="CA21"/>
  <c r="CA18"/>
  <c r="CA17"/>
  <c r="BA19"/>
  <c r="CA25"/>
  <c r="CA20"/>
  <c r="CA19"/>
  <c r="CA16"/>
  <c r="CA15"/>
  <c r="CA14"/>
  <c r="G20"/>
  <c r="AF22"/>
  <c r="CE20"/>
  <c r="M31"/>
  <c r="M33" s="1"/>
  <c r="P31"/>
  <c r="P33" s="1"/>
  <c r="E37" i="7"/>
  <c r="F37"/>
  <c r="E57" i="6"/>
  <c r="E55" i="7"/>
  <c r="F55"/>
  <c r="F38" i="19"/>
  <c r="EA17" i="2"/>
  <c r="F14" i="5"/>
  <c r="EV19" i="2"/>
  <c r="E26" i="9"/>
  <c r="E31" i="10"/>
  <c r="F5"/>
  <c r="E74" i="13"/>
  <c r="F91" i="6"/>
  <c r="H36" i="1"/>
  <c r="CH18" i="2"/>
  <c r="F17" i="10"/>
  <c r="F56" i="12"/>
  <c r="BT33" i="2"/>
  <c r="CH14"/>
  <c r="F12" i="14"/>
  <c r="F12" i="17"/>
  <c r="E5" i="18"/>
  <c r="E7" i="14"/>
  <c r="E7" i="15"/>
  <c r="T22" i="2"/>
  <c r="F5" i="8"/>
  <c r="E41" i="5"/>
  <c r="F96" i="3"/>
  <c r="F30" i="1"/>
  <c r="H30" s="1"/>
  <c r="BR15" i="2"/>
  <c r="F37" i="5"/>
  <c r="E81" i="7"/>
  <c r="EN17" i="2"/>
  <c r="EP17" s="1"/>
  <c r="F36" i="8"/>
  <c r="BQ18" i="2"/>
  <c r="BS18" s="1"/>
  <c r="E26" i="8"/>
  <c r="D25"/>
  <c r="E12" i="13"/>
  <c r="AS31" i="2"/>
  <c r="AS35" s="1"/>
  <c r="DJ22"/>
  <c r="CX33"/>
  <c r="F19"/>
  <c r="BS22"/>
  <c r="E26" i="4"/>
  <c r="F26"/>
  <c r="C4" i="15"/>
  <c r="E65" i="16"/>
  <c r="EB26" i="2"/>
  <c r="F7" i="17"/>
  <c r="E7"/>
  <c r="F98" i="3"/>
  <c r="F31" i="1"/>
  <c r="F72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2" i="5"/>
  <c r="E79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0"/>
  <c r="EE17" i="2" s="1"/>
  <c r="F15" i="1"/>
  <c r="H15" s="1"/>
  <c r="C32" i="3"/>
  <c r="CE27" i="2"/>
  <c r="T23"/>
  <c r="DX15"/>
  <c r="EP14"/>
  <c r="F30" i="6"/>
  <c r="D98" i="10"/>
  <c r="G18" i="1"/>
  <c r="H18" s="1"/>
  <c r="D32" i="3"/>
  <c r="K23" i="2"/>
  <c r="DV31"/>
  <c r="DV33" s="1"/>
  <c r="CJ31"/>
  <c r="CJ35" s="1"/>
  <c r="EJ25"/>
  <c r="E40" i="7"/>
  <c r="F68" i="19"/>
  <c r="AL24" i="2"/>
  <c r="BZ20"/>
  <c r="E76" i="14"/>
  <c r="DA35" i="2"/>
  <c r="AV33"/>
  <c r="BW33"/>
  <c r="EP29"/>
  <c r="ES27"/>
  <c r="DK25"/>
  <c r="BG23"/>
  <c r="E36" i="9"/>
  <c r="F46" i="17"/>
  <c r="F34"/>
  <c r="E71" i="12"/>
  <c r="AC26" i="2"/>
  <c r="DU24"/>
  <c r="CH24"/>
  <c r="AO19"/>
  <c r="N19"/>
  <c r="DU18"/>
  <c r="E86" i="6"/>
  <c r="F17" i="9"/>
  <c r="F81" i="10"/>
  <c r="E5"/>
  <c r="E85" i="13"/>
  <c r="F81" i="16"/>
  <c r="BP24" i="2"/>
  <c r="G24"/>
  <c r="C9" i="1"/>
  <c r="E9" s="1"/>
  <c r="AK31" i="2"/>
  <c r="EE22"/>
  <c r="EG22" s="1"/>
  <c r="E72" i="17"/>
  <c r="AX31" i="2"/>
  <c r="BS29"/>
  <c r="EA26"/>
  <c r="DX26"/>
  <c r="DK26"/>
  <c r="AI26"/>
  <c r="DU23"/>
  <c r="Q21"/>
  <c r="AI21"/>
  <c r="Q18"/>
  <c r="DU17"/>
  <c r="X31"/>
  <c r="R31"/>
  <c r="R35" s="1"/>
  <c r="EA16"/>
  <c r="CE16"/>
  <c r="Q16"/>
  <c r="E85" i="5"/>
  <c r="F65" i="6"/>
  <c r="F35"/>
  <c r="E29" i="7"/>
  <c r="E17"/>
  <c r="F64" i="8"/>
  <c r="E31"/>
  <c r="F29" i="11"/>
  <c r="E83" i="12"/>
  <c r="EM24" i="2"/>
  <c r="D25" i="14"/>
  <c r="F84" i="18"/>
  <c r="F37"/>
  <c r="F20"/>
  <c r="D4"/>
  <c r="E60" i="4"/>
  <c r="F41" i="18"/>
  <c r="AC25" i="2"/>
  <c r="S31"/>
  <c r="S33" s="1"/>
  <c r="F87" i="15"/>
  <c r="H32" i="1"/>
  <c r="H12"/>
  <c r="E80" i="14"/>
  <c r="G27" i="2"/>
  <c r="CG31"/>
  <c r="CG35" s="1"/>
  <c r="CM31"/>
  <c r="CM35" s="1"/>
  <c r="AB31"/>
  <c r="AB33" s="1"/>
  <c r="EK17"/>
  <c r="EM17" s="1"/>
  <c r="N17"/>
  <c r="ED22"/>
  <c r="EM29"/>
  <c r="BZ14"/>
  <c r="F90" i="5"/>
  <c r="EP19" i="2"/>
  <c r="F20" i="12"/>
  <c r="F34" i="7"/>
  <c r="BS16" i="2"/>
  <c r="CC31"/>
  <c r="CC35" s="1"/>
  <c r="H37" i="1"/>
  <c r="BV33" i="2"/>
  <c r="CZ31"/>
  <c r="CZ33" s="1"/>
  <c r="DB31"/>
  <c r="BX35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5" s="1"/>
  <c r="AI19"/>
  <c r="AC19"/>
  <c r="DX18"/>
  <c r="DX17"/>
  <c r="CE17"/>
  <c r="AC17"/>
  <c r="T17"/>
  <c r="T16"/>
  <c r="N16"/>
  <c r="Q15"/>
  <c r="N15"/>
  <c r="DJ14"/>
  <c r="CN14"/>
  <c r="AI14"/>
  <c r="E44" i="3"/>
  <c r="F29" i="4"/>
  <c r="E5"/>
  <c r="E57" i="5"/>
  <c r="D25"/>
  <c r="E30" i="6"/>
  <c r="E5" i="7"/>
  <c r="E20" i="8"/>
  <c r="E12"/>
  <c r="E14" i="9"/>
  <c r="F31" i="10"/>
  <c r="F26"/>
  <c r="F87" i="11"/>
  <c r="E29"/>
  <c r="F31" i="14"/>
  <c r="E92" i="16"/>
  <c r="F83" i="17"/>
  <c r="E57"/>
  <c r="E20"/>
  <c r="ES29" i="2"/>
  <c r="F77" i="19"/>
  <c r="F20"/>
  <c r="H38" i="1"/>
  <c r="BG27" i="2"/>
  <c r="BE31"/>
  <c r="F27"/>
  <c r="E36" i="7"/>
  <c r="F36"/>
  <c r="BQ17" i="2"/>
  <c r="BS17" s="1"/>
  <c r="DZ31"/>
  <c r="BP28"/>
  <c r="EV26"/>
  <c r="DJ23"/>
  <c r="AF17"/>
  <c r="CH16"/>
  <c r="EA15"/>
  <c r="CQ15"/>
  <c r="BZ15"/>
  <c r="E64" i="8"/>
  <c r="C25" i="9"/>
  <c r="F88" i="10"/>
  <c r="F14"/>
  <c r="F83" i="12"/>
  <c r="F5" i="13"/>
  <c r="F82" i="14"/>
  <c r="E26" i="15"/>
  <c r="F12"/>
  <c r="E31" i="16"/>
  <c r="F20" i="17"/>
  <c r="F65" i="18"/>
  <c r="E20" i="19"/>
  <c r="Z26" i="2"/>
  <c r="F16" i="3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7" i="4"/>
  <c r="F52" i="3"/>
  <c r="DS31" i="2"/>
  <c r="DS35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3" i="4"/>
  <c r="E14" i="5"/>
  <c r="F88" i="8"/>
  <c r="F12"/>
  <c r="C25" i="10"/>
  <c r="E82" i="11"/>
  <c r="BR28" i="2"/>
  <c r="G28" s="1"/>
  <c r="K28"/>
  <c r="K24"/>
  <c r="F66" i="15"/>
  <c r="BP25" i="2"/>
  <c r="BB31"/>
  <c r="BD14"/>
  <c r="F135" i="3"/>
  <c r="G39" i="1"/>
  <c r="E135" i="3"/>
  <c r="F5"/>
  <c r="F5" i="1"/>
  <c r="C4" i="3"/>
  <c r="E5"/>
  <c r="E12" i="5"/>
  <c r="F12"/>
  <c r="E31" i="7"/>
  <c r="F31"/>
  <c r="C25"/>
  <c r="F17" i="8"/>
  <c r="D4"/>
  <c r="EH19" i="2"/>
  <c r="EJ19" s="1"/>
  <c r="F76" i="9"/>
  <c r="E5"/>
  <c r="F5"/>
  <c r="E76" i="10"/>
  <c r="EI20" i="2"/>
  <c r="EI21"/>
  <c r="EJ21" s="1"/>
  <c r="E76" i="11"/>
  <c r="E31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88" i="3"/>
  <c r="C143"/>
  <c r="F88"/>
  <c r="EK18" i="2"/>
  <c r="E80" i="8"/>
  <c r="C25"/>
  <c r="F26"/>
  <c r="E42" i="3"/>
  <c r="G16" i="1"/>
  <c r="F42" i="3"/>
  <c r="E66" i="9"/>
  <c r="EC19" i="2"/>
  <c r="F66" i="9"/>
  <c r="E66" i="11"/>
  <c r="F66"/>
  <c r="EC21" i="2"/>
  <c r="E76" i="4"/>
  <c r="EK14" i="2"/>
  <c r="F76" i="4"/>
  <c r="C71" i="15"/>
  <c r="C97" s="1"/>
  <c r="E74"/>
  <c r="C70" i="16"/>
  <c r="F71"/>
  <c r="E71"/>
  <c r="C81" i="17"/>
  <c r="E81" s="1"/>
  <c r="F82"/>
  <c r="E82"/>
  <c r="E77" i="18"/>
  <c r="C73"/>
  <c r="F77"/>
  <c r="E64"/>
  <c r="C57"/>
  <c r="F64"/>
  <c r="C73" i="19"/>
  <c r="F76"/>
  <c r="H11" i="1"/>
  <c r="D101" i="6"/>
  <c r="F91" i="9"/>
  <c r="E88" i="10"/>
  <c r="EV23" i="2"/>
  <c r="F65" i="5"/>
  <c r="E32" i="18"/>
  <c r="CK18" i="2"/>
  <c r="E27" i="3"/>
  <c r="G13" i="1"/>
  <c r="F27" i="3"/>
  <c r="BF14" i="2"/>
  <c r="E31" i="4"/>
  <c r="D25"/>
  <c r="E5" i="5"/>
  <c r="F5"/>
  <c r="ET16" i="2"/>
  <c r="E97" i="6"/>
  <c r="E14"/>
  <c r="D4"/>
  <c r="F14"/>
  <c r="EQ19" i="2"/>
  <c r="E91" i="9"/>
  <c r="EE19" i="2"/>
  <c r="C101" i="9"/>
  <c r="F94" i="10"/>
  <c r="EU20" i="2"/>
  <c r="E94" i="10"/>
  <c r="E56"/>
  <c r="F36" i="11"/>
  <c r="BQ21" i="2"/>
  <c r="BS21" s="1"/>
  <c r="E36" i="11"/>
  <c r="E37" i="15"/>
  <c r="BQ25" i="2"/>
  <c r="F37" i="15"/>
  <c r="EB28" i="2"/>
  <c r="F67" i="18"/>
  <c r="ET29" i="2"/>
  <c r="EV29" s="1"/>
  <c r="F90" i="19"/>
  <c r="F35" i="1"/>
  <c r="E115" i="3"/>
  <c r="F115"/>
  <c r="F121"/>
  <c r="E121"/>
  <c r="E12" i="11"/>
  <c r="F12"/>
  <c r="CQ21" i="2"/>
  <c r="E21" i="3"/>
  <c r="F21"/>
  <c r="EE15" i="2"/>
  <c r="F72" i="5"/>
  <c r="D98" i="17"/>
  <c r="E65"/>
  <c r="F65"/>
  <c r="F75" i="16"/>
  <c r="E75"/>
  <c r="EI26" i="2"/>
  <c r="E53" i="19"/>
  <c r="D94"/>
  <c r="F53"/>
  <c r="E82" i="18"/>
  <c r="EL28" i="2"/>
  <c r="EM28" s="1"/>
  <c r="F82" i="18"/>
  <c r="F39" i="4"/>
  <c r="E76" i="6"/>
  <c r="C73"/>
  <c r="F76"/>
  <c r="E72" i="7"/>
  <c r="F72"/>
  <c r="F78"/>
  <c r="C75"/>
  <c r="CR31" i="2"/>
  <c r="CT19"/>
  <c r="F72" i="17"/>
  <c r="CN28" i="2"/>
  <c r="F50" i="3"/>
  <c r="F31" i="8"/>
  <c r="E17" i="9"/>
  <c r="F31" i="11"/>
  <c r="F88" i="12"/>
  <c r="C95" i="13"/>
  <c r="F87" i="14"/>
  <c r="C25"/>
  <c r="E14" i="16"/>
  <c r="D101" i="9"/>
  <c r="ES22" i="2"/>
  <c r="DK16"/>
  <c r="DX16"/>
  <c r="F19" i="1"/>
  <c r="E50" i="3"/>
  <c r="E12"/>
  <c r="F7" i="1"/>
  <c r="EH15" i="2"/>
  <c r="F77" i="5"/>
  <c r="E77"/>
  <c r="E14" i="7"/>
  <c r="F14"/>
  <c r="AY18" i="2"/>
  <c r="F29" i="8"/>
  <c r="E29"/>
  <c r="E81" i="9"/>
  <c r="F81"/>
  <c r="EL19" i="2"/>
  <c r="F12" i="10"/>
  <c r="C4"/>
  <c r="F64" i="11"/>
  <c r="E64"/>
  <c r="E20"/>
  <c r="F20"/>
  <c r="E5"/>
  <c r="F5"/>
  <c r="F17" i="12"/>
  <c r="C4"/>
  <c r="E17"/>
  <c r="F80" i="13"/>
  <c r="EO23" i="2"/>
  <c r="EP23" s="1"/>
  <c r="E80" i="13"/>
  <c r="EE23" i="2"/>
  <c r="F69" i="13"/>
  <c r="F56" i="14"/>
  <c r="E56"/>
  <c r="E12"/>
  <c r="D4"/>
  <c r="EL27" i="2"/>
  <c r="D4" i="17"/>
  <c r="F14"/>
  <c r="E14"/>
  <c r="F30" i="18"/>
  <c r="E30"/>
  <c r="C25"/>
  <c r="E14" i="19"/>
  <c r="F14"/>
  <c r="F71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E13" i="7"/>
  <c r="Y17" i="2"/>
  <c r="F13" i="7"/>
  <c r="Y19" i="2"/>
  <c r="G19" s="1"/>
  <c r="E13" i="9"/>
  <c r="D12"/>
  <c r="F94" i="8"/>
  <c r="CE23" i="2"/>
  <c r="K22"/>
  <c r="F22"/>
  <c r="E17" i="5"/>
  <c r="F17"/>
  <c r="E63" i="7"/>
  <c r="F63"/>
  <c r="F83" i="8"/>
  <c r="E83"/>
  <c r="EO18" i="2"/>
  <c r="E29" i="9"/>
  <c r="F29"/>
  <c r="EF20" i="2"/>
  <c r="F14" i="12"/>
  <c r="D4"/>
  <c r="E29" i="13"/>
  <c r="F29"/>
  <c r="E93" i="14"/>
  <c r="F93"/>
  <c r="ET24" i="2"/>
  <c r="EV24" s="1"/>
  <c r="E14" i="14"/>
  <c r="F14"/>
  <c r="E83" i="17"/>
  <c r="EN27" i="2"/>
  <c r="EP27" s="1"/>
  <c r="E78" i="18"/>
  <c r="EH28" i="2"/>
  <c r="EJ28" s="1"/>
  <c r="F78" i="18"/>
  <c r="E79" i="19"/>
  <c r="F79"/>
  <c r="EB29" i="2"/>
  <c r="ED29" s="1"/>
  <c r="E63" i="19"/>
  <c r="F63"/>
  <c r="C4"/>
  <c r="F5"/>
  <c r="F64" i="10"/>
  <c r="EF17" i="2"/>
  <c r="EC14"/>
  <c r="F62" i="4"/>
  <c r="E62"/>
  <c r="CI31" i="2"/>
  <c r="CI35" s="1"/>
  <c r="CK16"/>
  <c r="CW14"/>
  <c r="CV31"/>
  <c r="F73" i="10"/>
  <c r="C71"/>
  <c r="EE20" i="2" s="1"/>
  <c r="F72" i="11"/>
  <c r="C71"/>
  <c r="C80"/>
  <c r="E81"/>
  <c r="E70" i="13"/>
  <c r="F70"/>
  <c r="C71" i="14"/>
  <c r="F74"/>
  <c r="F97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29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5" s="1"/>
  <c r="CH17"/>
  <c r="BG17"/>
  <c r="W17"/>
  <c r="DO16"/>
  <c r="W14"/>
  <c r="Q14"/>
  <c r="BS20"/>
  <c r="H17" i="1"/>
  <c r="DX29" i="2"/>
  <c r="CE29"/>
  <c r="DK28"/>
  <c r="CH28"/>
  <c r="T28"/>
  <c r="Q28"/>
  <c r="EJ27"/>
  <c r="DR27"/>
  <c r="DU26"/>
  <c r="CH26"/>
  <c r="BG24"/>
  <c r="DX22"/>
  <c r="ES21"/>
  <c r="DO21"/>
  <c r="CH21"/>
  <c r="CE21"/>
  <c r="BG20"/>
  <c r="T20"/>
  <c r="DR19"/>
  <c r="W19"/>
  <c r="CQ18"/>
  <c r="DJ17"/>
  <c r="CD31"/>
  <c r="CD33" s="1"/>
  <c r="BG16"/>
  <c r="EA14"/>
  <c r="DU14"/>
  <c r="N14"/>
  <c r="AR15"/>
  <c r="CT26"/>
  <c r="AR27"/>
  <c r="E11" i="1"/>
  <c r="BH33" i="2"/>
  <c r="BH35"/>
  <c r="BJ31"/>
  <c r="DE35"/>
  <c r="DE33"/>
  <c r="DJ28"/>
  <c r="DJ27"/>
  <c r="DW31"/>
  <c r="AH31"/>
  <c r="EG18"/>
  <c r="DK27"/>
  <c r="DJ21"/>
  <c r="G18" l="1"/>
  <c r="D18" s="1"/>
  <c r="AT31"/>
  <c r="C40" i="5"/>
  <c r="C52" s="1"/>
  <c r="C53" s="1"/>
  <c r="X33" i="2"/>
  <c r="X35"/>
  <c r="D40" i="18"/>
  <c r="D52" s="1"/>
  <c r="D53" s="1"/>
  <c r="J33" i="2"/>
  <c r="BS15"/>
  <c r="G15"/>
  <c r="D15" s="1"/>
  <c r="CB29"/>
  <c r="D37" i="19"/>
  <c r="D48" s="1"/>
  <c r="D49" s="1"/>
  <c r="E25" i="15"/>
  <c r="ED26" i="2"/>
  <c r="BN31"/>
  <c r="I20" i="1" s="1"/>
  <c r="C20" s="1"/>
  <c r="E25" i="5"/>
  <c r="E4" i="13"/>
  <c r="CZ35" i="2"/>
  <c r="C25" i="16"/>
  <c r="E25" s="1"/>
  <c r="BS26" i="2"/>
  <c r="F4" i="16"/>
  <c r="E36"/>
  <c r="F36"/>
  <c r="E4" i="10"/>
  <c r="D39"/>
  <c r="D51" s="1"/>
  <c r="F17" i="2"/>
  <c r="C17" s="1"/>
  <c r="BP15"/>
  <c r="CB18"/>
  <c r="CB23"/>
  <c r="E4" i="16"/>
  <c r="C40" i="14"/>
  <c r="C51" s="1"/>
  <c r="F4" i="13"/>
  <c r="E25" i="12"/>
  <c r="E70" i="7"/>
  <c r="C40" i="6"/>
  <c r="C52" s="1"/>
  <c r="G16" i="2"/>
  <c r="D16" s="1"/>
  <c r="BO31"/>
  <c r="BO35" s="1"/>
  <c r="E4" i="5"/>
  <c r="F4" i="4"/>
  <c r="D37"/>
  <c r="D47" s="1"/>
  <c r="DG20" i="2"/>
  <c r="DL23"/>
  <c r="DL19"/>
  <c r="BM31"/>
  <c r="BM33" s="1"/>
  <c r="DY31"/>
  <c r="I30" i="1" s="1"/>
  <c r="C30" s="1"/>
  <c r="ES26" i="2"/>
  <c r="D40" i="14"/>
  <c r="AL31" i="2"/>
  <c r="DL24"/>
  <c r="H20"/>
  <c r="C19"/>
  <c r="BL35"/>
  <c r="F97" i="8"/>
  <c r="CB16" i="2"/>
  <c r="DG14"/>
  <c r="H31" i="1"/>
  <c r="BK35" i="2"/>
  <c r="C16"/>
  <c r="CB19"/>
  <c r="C28"/>
  <c r="AZ31"/>
  <c r="J17" i="1" s="1"/>
  <c r="D17" s="1"/>
  <c r="E4" i="11"/>
  <c r="F25" i="9"/>
  <c r="F70" i="7"/>
  <c r="E25" i="6"/>
  <c r="F4" i="5"/>
  <c r="C23" i="2"/>
  <c r="E25" i="19"/>
  <c r="DL29" i="2"/>
  <c r="C37" i="17"/>
  <c r="C52" s="1"/>
  <c r="DL26" i="2"/>
  <c r="BA25"/>
  <c r="F25" i="15"/>
  <c r="DH22" i="2"/>
  <c r="F25" i="12"/>
  <c r="F4" i="11"/>
  <c r="AJ33" i="2"/>
  <c r="I13" i="1"/>
  <c r="C13" s="1"/>
  <c r="F100" i="5"/>
  <c r="E4" i="4"/>
  <c r="F93"/>
  <c r="CB26" i="2"/>
  <c r="DL18"/>
  <c r="DL15"/>
  <c r="F25" i="19"/>
  <c r="BG29" i="2"/>
  <c r="C26"/>
  <c r="DH25"/>
  <c r="CB25"/>
  <c r="O33"/>
  <c r="F24"/>
  <c r="C24" s="1"/>
  <c r="CB24"/>
  <c r="G22"/>
  <c r="H22" s="1"/>
  <c r="C40" i="12"/>
  <c r="C51" s="1"/>
  <c r="C52" s="1"/>
  <c r="C39" i="11"/>
  <c r="C51" s="1"/>
  <c r="CF33" i="2"/>
  <c r="CB17"/>
  <c r="C39" i="7"/>
  <c r="C50" s="1"/>
  <c r="DL17" i="2"/>
  <c r="F25" i="6"/>
  <c r="AO31" i="2"/>
  <c r="AO33" s="1"/>
  <c r="AD33"/>
  <c r="AN35"/>
  <c r="V33"/>
  <c r="CL35"/>
  <c r="E100" i="5"/>
  <c r="ER33" i="2"/>
  <c r="C15"/>
  <c r="AA33"/>
  <c r="I6" i="1"/>
  <c r="C6" s="1"/>
  <c r="C37" i="4"/>
  <c r="C47" s="1"/>
  <c r="E93"/>
  <c r="AG35" i="2"/>
  <c r="I8" i="1"/>
  <c r="C8" s="1"/>
  <c r="DH15" i="2"/>
  <c r="CB20"/>
  <c r="C22"/>
  <c r="CB14"/>
  <c r="AG33"/>
  <c r="D28"/>
  <c r="H28"/>
  <c r="CB27"/>
  <c r="F4" i="15"/>
  <c r="CO33" i="2"/>
  <c r="DT35"/>
  <c r="CB28"/>
  <c r="E89" i="18"/>
  <c r="BZ31" i="2"/>
  <c r="BZ35" s="1"/>
  <c r="DU31"/>
  <c r="DU33" s="1"/>
  <c r="I33"/>
  <c r="D27"/>
  <c r="DO31"/>
  <c r="CQ31"/>
  <c r="CP33"/>
  <c r="DS33"/>
  <c r="CC33"/>
  <c r="I5" i="1"/>
  <c r="C5" s="1"/>
  <c r="L33" i="2"/>
  <c r="N31"/>
  <c r="DQ35"/>
  <c r="G4" i="1"/>
  <c r="G26" i="2"/>
  <c r="D26" s="1"/>
  <c r="AQ35"/>
  <c r="D72" i="3"/>
  <c r="F4"/>
  <c r="AF31" i="2"/>
  <c r="AE33"/>
  <c r="J10" i="1"/>
  <c r="D10" s="1"/>
  <c r="E10" s="1"/>
  <c r="DR31" i="2"/>
  <c r="DR33" s="1"/>
  <c r="E4" i="15"/>
  <c r="D40"/>
  <c r="D51" s="1"/>
  <c r="DP33" i="2"/>
  <c r="DL25"/>
  <c r="D29"/>
  <c r="EX29" s="1"/>
  <c r="J25" i="1"/>
  <c r="D25" s="1"/>
  <c r="CS35" i="2"/>
  <c r="CS33"/>
  <c r="M35"/>
  <c r="AM33"/>
  <c r="DH16"/>
  <c r="ED28"/>
  <c r="F25" i="10"/>
  <c r="D25" i="2"/>
  <c r="DN33"/>
  <c r="AD35"/>
  <c r="AP31"/>
  <c r="I15" i="1" s="1"/>
  <c r="C15" s="1"/>
  <c r="H34"/>
  <c r="D34"/>
  <c r="E34" s="1"/>
  <c r="K31" i="2"/>
  <c r="BQ31"/>
  <c r="BQ33" s="1"/>
  <c r="DG18"/>
  <c r="D39" i="11"/>
  <c r="D51" s="1"/>
  <c r="DG23" i="2"/>
  <c r="J5" i="1"/>
  <c r="D5" s="1"/>
  <c r="C37" i="13"/>
  <c r="C49" s="1"/>
  <c r="C50" s="1"/>
  <c r="DM33" i="2"/>
  <c r="E97" i="8"/>
  <c r="F29" i="2"/>
  <c r="C29" s="1"/>
  <c r="D20"/>
  <c r="P35"/>
  <c r="Q31"/>
  <c r="R33"/>
  <c r="D24"/>
  <c r="I7" i="1"/>
  <c r="E25" i="9"/>
  <c r="ER35" i="2"/>
  <c r="EM18"/>
  <c r="C20"/>
  <c r="CJ33"/>
  <c r="AS33"/>
  <c r="C14"/>
  <c r="J6" i="1"/>
  <c r="D6" s="1"/>
  <c r="CM33" i="2"/>
  <c r="DV35"/>
  <c r="Z19"/>
  <c r="DG22"/>
  <c r="DL16"/>
  <c r="U33"/>
  <c r="DH28"/>
  <c r="EN31"/>
  <c r="EN33" s="1"/>
  <c r="BS28"/>
  <c r="C40" i="15"/>
  <c r="DL22" i="2"/>
  <c r="EG19"/>
  <c r="D40" i="5"/>
  <c r="E143" i="3"/>
  <c r="S35" i="2"/>
  <c r="T31"/>
  <c r="F98" i="12"/>
  <c r="E98"/>
  <c r="CH31" i="2"/>
  <c r="CH35" s="1"/>
  <c r="DK31"/>
  <c r="DK33" s="1"/>
  <c r="CG33"/>
  <c r="AK35"/>
  <c r="J13" i="1"/>
  <c r="D13" s="1"/>
  <c r="AK33" i="2"/>
  <c r="AX33"/>
  <c r="AX35"/>
  <c r="F25" i="5"/>
  <c r="CN31" i="2"/>
  <c r="C40" i="18"/>
  <c r="AC31" i="2"/>
  <c r="J8" i="1"/>
  <c r="AB35" i="2"/>
  <c r="W31"/>
  <c r="CE31"/>
  <c r="AU18"/>
  <c r="DH20"/>
  <c r="DB33"/>
  <c r="DC31"/>
  <c r="DB35"/>
  <c r="CB15"/>
  <c r="F4" i="18"/>
  <c r="E4"/>
  <c r="DZ35" i="2"/>
  <c r="DZ33"/>
  <c r="J30" i="1"/>
  <c r="D30" s="1"/>
  <c r="DL28" i="2"/>
  <c r="E25" i="18"/>
  <c r="E25" i="10"/>
  <c r="C39" i="9"/>
  <c r="BE33" i="2"/>
  <c r="I18" i="1"/>
  <c r="C18" s="1"/>
  <c r="BE35" i="2"/>
  <c r="CD35"/>
  <c r="E71" i="10"/>
  <c r="F21" i="2"/>
  <c r="C27"/>
  <c r="H27"/>
  <c r="EE24"/>
  <c r="E71" i="14"/>
  <c r="F71"/>
  <c r="C97"/>
  <c r="EK21" i="2"/>
  <c r="EM21" s="1"/>
  <c r="F80" i="11"/>
  <c r="E80"/>
  <c r="DH14" i="2"/>
  <c r="DL14"/>
  <c r="EE16"/>
  <c r="C101" i="6"/>
  <c r="E73"/>
  <c r="EV16" i="2"/>
  <c r="ET31"/>
  <c r="F73" i="18"/>
  <c r="E73"/>
  <c r="EE28" i="2"/>
  <c r="EG28" s="1"/>
  <c r="F25" i="7"/>
  <c r="E25"/>
  <c r="F71" i="11"/>
  <c r="E71"/>
  <c r="EE21" i="2"/>
  <c r="EG21" s="1"/>
  <c r="C97" i="11"/>
  <c r="CV33" i="2"/>
  <c r="CW31"/>
  <c r="CV35"/>
  <c r="E4" i="12"/>
  <c r="D40"/>
  <c r="F4"/>
  <c r="F12" i="9"/>
  <c r="E12"/>
  <c r="D4"/>
  <c r="Y31" i="2"/>
  <c r="G17"/>
  <c r="Z17"/>
  <c r="F4" i="10"/>
  <c r="C39"/>
  <c r="EJ15" i="2"/>
  <c r="C19" i="1"/>
  <c r="F14"/>
  <c r="EG15" i="2"/>
  <c r="DG15"/>
  <c r="E4" i="6"/>
  <c r="D40"/>
  <c r="F4"/>
  <c r="G14" i="2"/>
  <c r="BG14"/>
  <c r="BF31"/>
  <c r="F57" i="18"/>
  <c r="E57"/>
  <c r="C99"/>
  <c r="EE25" i="2"/>
  <c r="E71" i="15"/>
  <c r="F71"/>
  <c r="ED21" i="2"/>
  <c r="DH21"/>
  <c r="ED19"/>
  <c r="DH19"/>
  <c r="E25" i="11"/>
  <c r="F25"/>
  <c r="EJ20" i="2"/>
  <c r="EI31"/>
  <c r="EI35" s="1"/>
  <c r="EG23"/>
  <c r="EG20"/>
  <c r="F95" i="13"/>
  <c r="EB31" i="2"/>
  <c r="EB35" s="1"/>
  <c r="DG19"/>
  <c r="ED27"/>
  <c r="CI33"/>
  <c r="CK31"/>
  <c r="DH17"/>
  <c r="EG17"/>
  <c r="EF31"/>
  <c r="EF35" s="1"/>
  <c r="EO31"/>
  <c r="EP18"/>
  <c r="BA18"/>
  <c r="AY31"/>
  <c r="F18"/>
  <c r="C35" i="1"/>
  <c r="E35" s="1"/>
  <c r="F28"/>
  <c r="H35"/>
  <c r="F4"/>
  <c r="H5"/>
  <c r="F32" i="3"/>
  <c r="E32"/>
  <c r="ED14" i="2"/>
  <c r="EC31"/>
  <c r="EC35" s="1"/>
  <c r="D19"/>
  <c r="H19"/>
  <c r="D4" i="7"/>
  <c r="F12"/>
  <c r="E12"/>
  <c r="D37" i="17"/>
  <c r="F4"/>
  <c r="E4"/>
  <c r="E4" i="14"/>
  <c r="F4"/>
  <c r="EM19" i="2"/>
  <c r="EL31"/>
  <c r="F101" i="9"/>
  <c r="E101"/>
  <c r="E75" i="7"/>
  <c r="F75"/>
  <c r="C96"/>
  <c r="EH17" i="2"/>
  <c r="EJ17" s="1"/>
  <c r="ES19"/>
  <c r="EQ31"/>
  <c r="F25" i="4"/>
  <c r="E25"/>
  <c r="F73" i="19"/>
  <c r="EH29" i="2"/>
  <c r="E73" i="19"/>
  <c r="C94"/>
  <c r="F94" s="1"/>
  <c r="EE26" i="2"/>
  <c r="F70" i="16"/>
  <c r="C96"/>
  <c r="E70"/>
  <c r="EM14" i="2"/>
  <c r="E25" i="8"/>
  <c r="F25"/>
  <c r="F25" i="17"/>
  <c r="E25"/>
  <c r="G23" i="2"/>
  <c r="BR31"/>
  <c r="D39" i="8"/>
  <c r="F4"/>
  <c r="E4"/>
  <c r="D39" i="1"/>
  <c r="H39"/>
  <c r="G28"/>
  <c r="E95" i="13"/>
  <c r="F71" i="10"/>
  <c r="C98"/>
  <c r="E98" s="1"/>
  <c r="F25" i="18"/>
  <c r="DL20" i="2"/>
  <c r="C72" i="3"/>
  <c r="C39" i="8"/>
  <c r="C51" s="1"/>
  <c r="C52" s="1"/>
  <c r="F143" i="3"/>
  <c r="E4"/>
  <c r="D37" i="13"/>
  <c r="F25"/>
  <c r="E25"/>
  <c r="CB21" i="2"/>
  <c r="D21"/>
  <c r="EK27"/>
  <c r="DG27" s="1"/>
  <c r="C98" i="17"/>
  <c r="D16" i="1"/>
  <c r="E16" s="1"/>
  <c r="G14"/>
  <c r="H16"/>
  <c r="E4" i="19"/>
  <c r="C37"/>
  <c r="C48" s="1"/>
  <c r="F4"/>
  <c r="H7" i="1"/>
  <c r="F25" i="14"/>
  <c r="E25"/>
  <c r="I25" i="1"/>
  <c r="CR33" i="2"/>
  <c r="CR35"/>
  <c r="CT31"/>
  <c r="E38" i="4"/>
  <c r="F38"/>
  <c r="EJ26" i="2"/>
  <c r="DH26"/>
  <c r="F25"/>
  <c r="BS25"/>
  <c r="EV20"/>
  <c r="EU31"/>
  <c r="BB35"/>
  <c r="BB33"/>
  <c r="BD31"/>
  <c r="F73" i="6"/>
  <c r="F81" i="17"/>
  <c r="DH23" i="2"/>
  <c r="DH18"/>
  <c r="DL21"/>
  <c r="CB22"/>
  <c r="CA31"/>
  <c r="BJ33"/>
  <c r="BJ35"/>
  <c r="DX31"/>
  <c r="DW35"/>
  <c r="DW33"/>
  <c r="DH27"/>
  <c r="DL27"/>
  <c r="AH33"/>
  <c r="J12" i="1"/>
  <c r="AI31" i="2"/>
  <c r="AH35"/>
  <c r="DJ31"/>
  <c r="D83" i="3" l="1"/>
  <c r="D84" s="1"/>
  <c r="D52" i="15"/>
  <c r="D52" i="11"/>
  <c r="D52" i="10"/>
  <c r="C51" i="9"/>
  <c r="C52" s="1"/>
  <c r="W33" i="2"/>
  <c r="C53" i="17"/>
  <c r="EW23" i="2"/>
  <c r="DG28"/>
  <c r="EW28" s="1"/>
  <c r="F25" i="16"/>
  <c r="BN35" i="2"/>
  <c r="BN33"/>
  <c r="E16"/>
  <c r="EX25"/>
  <c r="E28"/>
  <c r="C39" i="16"/>
  <c r="C50" s="1"/>
  <c r="E50" s="1"/>
  <c r="BM35" i="2"/>
  <c r="EW20"/>
  <c r="J20" i="1"/>
  <c r="D20" s="1"/>
  <c r="E20" s="1"/>
  <c r="BO33" i="2"/>
  <c r="C53" i="6"/>
  <c r="BP31" i="2"/>
  <c r="DY35"/>
  <c r="H16"/>
  <c r="DI14"/>
  <c r="EW19"/>
  <c r="EA31"/>
  <c r="DY33"/>
  <c r="DG21"/>
  <c r="AZ35"/>
  <c r="EW14"/>
  <c r="AZ33"/>
  <c r="EW22"/>
  <c r="C51" i="7"/>
  <c r="F101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D8" i="1"/>
  <c r="E8" s="1"/>
  <c r="EX28" i="2"/>
  <c r="BQ35"/>
  <c r="F40" i="18"/>
  <c r="K5" i="1"/>
  <c r="BZ33" i="2"/>
  <c r="DK35"/>
  <c r="C7" i="1"/>
  <c r="C4" s="1"/>
  <c r="EW27" i="2"/>
  <c r="J29" i="1"/>
  <c r="D51" i="16"/>
  <c r="K10" i="1"/>
  <c r="H14"/>
  <c r="AP33" i="2"/>
  <c r="AR31"/>
  <c r="AP35"/>
  <c r="H29"/>
  <c r="EN35"/>
  <c r="EX24"/>
  <c r="E29"/>
  <c r="EX18"/>
  <c r="I37" i="1"/>
  <c r="C37" s="1"/>
  <c r="E39" i="11"/>
  <c r="E101" i="6"/>
  <c r="E40" i="18"/>
  <c r="C52"/>
  <c r="C53" s="1"/>
  <c r="C48" i="4"/>
  <c r="E20" i="2"/>
  <c r="K6" i="1"/>
  <c r="DI20" i="2"/>
  <c r="DI22"/>
  <c r="C51" i="15"/>
  <c r="C52" s="1"/>
  <c r="F40"/>
  <c r="E40"/>
  <c r="D52" i="5"/>
  <c r="E40"/>
  <c r="F40"/>
  <c r="E96" i="7"/>
  <c r="K30" i="1"/>
  <c r="DI21" i="2"/>
  <c r="EX21"/>
  <c r="F96" i="7"/>
  <c r="DC35" i="2"/>
  <c r="DC33"/>
  <c r="AT35"/>
  <c r="AT33"/>
  <c r="J15" i="1"/>
  <c r="AU31" i="2"/>
  <c r="H28" i="1"/>
  <c r="EK31" i="2"/>
  <c r="EM31" s="1"/>
  <c r="E94" i="19"/>
  <c r="DG17" i="2"/>
  <c r="EW17" s="1"/>
  <c r="EM27"/>
  <c r="H21"/>
  <c r="C21"/>
  <c r="E21" s="1"/>
  <c r="F37" i="13"/>
  <c r="D49"/>
  <c r="E37"/>
  <c r="C83" i="3"/>
  <c r="F72"/>
  <c r="E72"/>
  <c r="H23" i="2"/>
  <c r="D23"/>
  <c r="F96" i="16"/>
  <c r="E96"/>
  <c r="E4" i="7"/>
  <c r="D39"/>
  <c r="F4"/>
  <c r="H4" i="1"/>
  <c r="F23"/>
  <c r="F27" s="1"/>
  <c r="F43" s="1"/>
  <c r="EI33" i="2"/>
  <c r="J33" i="1"/>
  <c r="F97" i="15"/>
  <c r="E97"/>
  <c r="F99" i="18"/>
  <c r="E99"/>
  <c r="D17" i="2"/>
  <c r="H17"/>
  <c r="ET33"/>
  <c r="ET35"/>
  <c r="I41" i="1"/>
  <c r="DG16" i="2"/>
  <c r="EG16"/>
  <c r="EE31"/>
  <c r="EE35" s="1"/>
  <c r="E97" i="14"/>
  <c r="F97"/>
  <c r="F47" i="4"/>
  <c r="E47"/>
  <c r="D48"/>
  <c r="BD35" i="2"/>
  <c r="BD33"/>
  <c r="E37" i="19"/>
  <c r="F37"/>
  <c r="E39" i="1"/>
  <c r="J21"/>
  <c r="D21" s="1"/>
  <c r="BR33" i="2"/>
  <c r="BR35"/>
  <c r="BS31"/>
  <c r="EQ35"/>
  <c r="EQ33"/>
  <c r="I38" i="1"/>
  <c r="ES31" i="2"/>
  <c r="EC33"/>
  <c r="J31" i="1"/>
  <c r="ED31" i="2"/>
  <c r="BA31"/>
  <c r="AY35"/>
  <c r="AY33"/>
  <c r="I17" i="1"/>
  <c r="J32"/>
  <c r="EF33" i="2"/>
  <c r="I31" i="1"/>
  <c r="EB33" i="2"/>
  <c r="EG25"/>
  <c r="DG25"/>
  <c r="DI25" s="1"/>
  <c r="J18" i="1"/>
  <c r="BF33" i="2"/>
  <c r="BF35"/>
  <c r="BG31"/>
  <c r="BG33" s="1"/>
  <c r="E40" i="6"/>
  <c r="F40"/>
  <c r="D52"/>
  <c r="E15" i="2"/>
  <c r="EX15"/>
  <c r="E97" i="11"/>
  <c r="F97"/>
  <c r="EG24" i="2"/>
  <c r="DG24"/>
  <c r="DI19"/>
  <c r="F98" i="10"/>
  <c r="G23" i="1"/>
  <c r="E5"/>
  <c r="DI18" i="2"/>
  <c r="EH31"/>
  <c r="EH35" s="1"/>
  <c r="F51" i="11"/>
  <c r="C52"/>
  <c r="E51"/>
  <c r="J41" i="1"/>
  <c r="EU35" i="2"/>
  <c r="EV31"/>
  <c r="EU33"/>
  <c r="EX26"/>
  <c r="F39" i="8"/>
  <c r="D51"/>
  <c r="E39"/>
  <c r="DG26" i="2"/>
  <c r="EW26" s="1"/>
  <c r="EG26"/>
  <c r="EL35"/>
  <c r="J36" i="1"/>
  <c r="EL33" i="2"/>
  <c r="E19"/>
  <c r="EX19"/>
  <c r="C18"/>
  <c r="H18"/>
  <c r="F31"/>
  <c r="EO33"/>
  <c r="EO35"/>
  <c r="J37" i="1"/>
  <c r="D37" s="1"/>
  <c r="E37" s="1"/>
  <c r="EP31" i="2"/>
  <c r="E4" i="9"/>
  <c r="F4"/>
  <c r="D39"/>
  <c r="F40" i="12"/>
  <c r="D51"/>
  <c r="E40"/>
  <c r="E98" i="17"/>
  <c r="H25" i="2"/>
  <c r="C25"/>
  <c r="K25" i="1"/>
  <c r="C25"/>
  <c r="E25" s="1"/>
  <c r="EJ29" i="2"/>
  <c r="DG29"/>
  <c r="F40" i="14"/>
  <c r="D51"/>
  <c r="E40"/>
  <c r="D52" i="17"/>
  <c r="E37"/>
  <c r="F37"/>
  <c r="H14" i="2"/>
  <c r="G31"/>
  <c r="D14"/>
  <c r="EW15"/>
  <c r="DI15"/>
  <c r="C51" i="10"/>
  <c r="F39"/>
  <c r="E39"/>
  <c r="J7" i="1"/>
  <c r="J4" s="1"/>
  <c r="Y33" i="2"/>
  <c r="Z31"/>
  <c r="Y35"/>
  <c r="CW33"/>
  <c r="F98" i="17"/>
  <c r="C52" i="14"/>
  <c r="I29" i="1"/>
  <c r="DJ33" i="2"/>
  <c r="DJ35"/>
  <c r="EX27"/>
  <c r="DI27"/>
  <c r="E30" i="1"/>
  <c r="K12"/>
  <c r="D12"/>
  <c r="DH31" i="2"/>
  <c r="DL31"/>
  <c r="CA35"/>
  <c r="CB31"/>
  <c r="J24" i="1"/>
  <c r="CA33" i="2"/>
  <c r="D28" i="1" l="1"/>
  <c r="K38"/>
  <c r="C38"/>
  <c r="DI28" i="2"/>
  <c r="EY28"/>
  <c r="F50" i="16"/>
  <c r="C51"/>
  <c r="F39"/>
  <c r="E39"/>
  <c r="EY20" i="2"/>
  <c r="EY19"/>
  <c r="EX22"/>
  <c r="EY22" s="1"/>
  <c r="DI17"/>
  <c r="D31"/>
  <c r="D35" s="1"/>
  <c r="EY27"/>
  <c r="K29" i="1"/>
  <c r="EK33" i="2"/>
  <c r="E52" i="18"/>
  <c r="F52"/>
  <c r="D53" i="6"/>
  <c r="E51" i="15"/>
  <c r="F51"/>
  <c r="D53" i="5"/>
  <c r="E52"/>
  <c r="F52"/>
  <c r="EK35" i="2"/>
  <c r="I36" i="1"/>
  <c r="K36" s="1"/>
  <c r="K15"/>
  <c r="D15"/>
  <c r="E15" s="1"/>
  <c r="EY15" i="2"/>
  <c r="DI26"/>
  <c r="EW21"/>
  <c r="EY21" s="1"/>
  <c r="DG31"/>
  <c r="DI31" s="1"/>
  <c r="J28" i="1"/>
  <c r="C17"/>
  <c r="K17"/>
  <c r="I14"/>
  <c r="I32"/>
  <c r="K32" s="1"/>
  <c r="EE33" i="2"/>
  <c r="G33"/>
  <c r="G35"/>
  <c r="H31"/>
  <c r="EW29"/>
  <c r="EY29" s="1"/>
  <c r="DI29"/>
  <c r="F51" i="12"/>
  <c r="E51"/>
  <c r="D52"/>
  <c r="EX14" i="2"/>
  <c r="E14"/>
  <c r="E51" i="14"/>
  <c r="F51"/>
  <c r="D52"/>
  <c r="E39" i="9"/>
  <c r="D51"/>
  <c r="F39"/>
  <c r="E23" i="2"/>
  <c r="EX23"/>
  <c r="EY23" s="1"/>
  <c r="C84" i="3"/>
  <c r="E83"/>
  <c r="F83"/>
  <c r="EG31" i="2"/>
  <c r="K31" i="1"/>
  <c r="F39" i="7"/>
  <c r="D50"/>
  <c r="E39"/>
  <c r="I33" i="1"/>
  <c r="K33" s="1"/>
  <c r="EH33" i="2"/>
  <c r="EX17"/>
  <c r="EY17" s="1"/>
  <c r="E17"/>
  <c r="D50" i="13"/>
  <c r="E49"/>
  <c r="F49"/>
  <c r="D7" i="1"/>
  <c r="E7" s="1"/>
  <c r="K7"/>
  <c r="F33" i="2"/>
  <c r="F35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DH33" i="2"/>
  <c r="DH35"/>
  <c r="E12" i="1"/>
  <c r="K24"/>
  <c r="E38" l="1"/>
  <c r="C28"/>
  <c r="E28" s="1"/>
  <c r="E31" i="2"/>
  <c r="D33"/>
  <c r="DG35"/>
  <c r="I28" i="1"/>
  <c r="K28" s="1"/>
  <c r="DG33" i="2"/>
  <c r="EY14"/>
  <c r="EX31"/>
  <c r="D52" i="9"/>
  <c r="F51"/>
  <c r="E51"/>
  <c r="E18" i="1"/>
  <c r="D14"/>
  <c r="D4"/>
  <c r="E4" s="1"/>
  <c r="K14"/>
  <c r="I23"/>
  <c r="I27" s="1"/>
  <c r="G43"/>
  <c r="H27"/>
  <c r="F50" i="7"/>
  <c r="D51"/>
  <c r="E50"/>
  <c r="EW31" i="2"/>
  <c r="C33"/>
  <c r="C35"/>
  <c r="E17" i="1"/>
  <c r="C14"/>
  <c r="C23" s="1"/>
  <c r="C27" s="1"/>
  <c r="J43"/>
  <c r="C43" l="1"/>
  <c r="D23"/>
  <c r="D27" s="1"/>
  <c r="I43"/>
  <c r="F44" s="1"/>
  <c r="F45" s="1"/>
  <c r="E14"/>
  <c r="G44"/>
  <c r="EX33" i="2"/>
  <c r="EX35"/>
  <c r="EY31"/>
  <c r="EW35"/>
  <c r="EW33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<sst xmlns="http://schemas.openxmlformats.org/spreadsheetml/2006/main" count="2830" uniqueCount="437">
  <si>
    <t xml:space="preserve">                     Анализ исполнения райбюджета</t>
  </si>
  <si>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</si>
  <si>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</si>
  <si>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</si>
  <si>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</si>
  <si>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</si>
  <si>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</si>
  <si>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</si>
  <si>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</si>
  <si>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</si>
  <si>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</si>
  <si>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</si>
  <si>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</si>
  <si>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</si>
  <si>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</si>
  <si>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</si>
  <si>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</si>
  <si>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</si>
  <si>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</si>
  <si>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</si>
  <si>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</si>
  <si>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</si>
  <si>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</si>
  <si>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</si>
  <si>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</si>
  <si>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</si>
  <si>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</si>
  <si>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</si>
  <si>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</si>
  <si>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</si>
  <si>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</si>
  <si>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</si>
  <si>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</si>
  <si>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</si>
  <si>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</si>
  <si>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</si>
  <si>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</si>
  <si>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</si>
  <si>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</si>
  <si>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</si>
  <si>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</si>
  <si>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</si>
  <si>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</si>
  <si>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</si>
  <si>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</si>
  <si>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</si>
  <si>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</si>
  <si>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</si>
  <si>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</si>
  <si>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</si>
  <si>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</si>
  <si>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</si>
  <si>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</si>
  <si>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</si>
  <si>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</si>
  <si>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</si>
  <si>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</si>
  <si>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</si>
  <si>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</si>
  <si>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</si>
  <si>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</si>
  <si>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</si>
  <si>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</si>
  <si>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</si>
  <si>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</si>
  <si>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</si>
  <si>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</si>
  <si>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</si>
  <si>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</si>
  <si>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</si>
  <si>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</si>
  <si>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</si>
  <si>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</si>
  <si>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</si>
  <si>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</si>
  <si>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</si>
  <si>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</si>
  <si>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</si>
  <si>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</si>
  <si>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</si>
  <si>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</si>
  <si>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</si>
  <si>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</si>
  <si>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</si>
  <si>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</si>
  <si>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</si>
  <si>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</si>
  <si>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</si>
  <si>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</si>
  <si>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</si>
  <si>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</si>
  <si>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</si>
  <si>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</si>
  <si>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</si>
  <si>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</si>
  <si>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</si>
  <si>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</si>
  <si>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</si>
  <si>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</si>
  <si>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</si>
  <si>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</si>
  <si>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</si>
  <si>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</si>
  <si>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</si>
  <si>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</si>
  <si>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</si>
  <si>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</si>
  <si>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</si>
  <si>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</si>
  <si>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</si>
  <si>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</si>
  <si>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</si>
  <si>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</si>
  <si>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</si>
  <si>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</si>
  <si>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</si>
  <si>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</si>
  <si>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</si>
  <si>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</si>
  <si>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</si>
  <si>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</si>
  <si>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</si>
  <si>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</si>
  <si>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</si>
  <si>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</si>
  <si>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</si>
  <si>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</si>
  <si>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</si>
  <si>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</si>
  <si>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</si>
  <si>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</si>
  <si>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</si>
  <si>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</si>
  <si>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</si>
  <si>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</si>
  <si>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</si>
  <si>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</si>
  <si>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</si>
  <si>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</si>
  <si>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</si>
  <si>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</si>
  <si>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</si>
  <si>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</si>
  <si>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</si>
  <si>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</si>
  <si>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</si>
  <si>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</si>
  <si>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</si>
  <si>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</si>
  <si>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</si>
  <si>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</si>
  <si>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</si>
  <si>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</si>
  <si>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</si>
  <si>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</si>
  <si>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</si>
  <si>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</si>
  <si>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</si>
  <si>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</si>
  <si>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</si>
  <si>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</si>
  <si>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</si>
  <si>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</si>
  <si>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</si>
  <si>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</si>
  <si>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</si>
  <si>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</si>
  <si>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</si>
  <si>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</si>
  <si>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</si>
  <si>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</si>
  <si>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</si>
  <si>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</si>
  <si>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</si>
  <si>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</si>
  <si>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</si>
  <si>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</si>
  <si>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</si>
  <si>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</si>
  <si>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</si>
  <si>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</si>
  <si>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</si>
  <si>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</si>
  <si>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</si>
  <si>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</si>
  <si>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</si>
  <si>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</si>
  <si>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</si>
  <si>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</si>
  <si>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</si>
  <si>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</si>
  <si>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</si>
  <si>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</si>
  <si>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</si>
  <si>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</si>
  <si>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</si>
  <si>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</si>
  <si>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</si>
  <si>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</si>
  <si>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</si>
  <si>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</si>
  <si>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</si>
  <si>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</si>
  <si>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</si>
  <si>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</si>
  <si>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</si>
  <si>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</si>
  <si>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</si>
  <si>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</si>
  <si>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</si>
  <si>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</si>
  <si>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</si>
  <si>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</si>
  <si>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</si>
  <si>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</si>
  <si>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</si>
  <si>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</si>
  <si>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</si>
  <si>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</si>
  <si>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</si>
  <si>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</si>
  <si>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</si>
  <si>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</si>
  <si>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</si>
  <si>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</si>
  <si>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</si>
  <si>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</si>
  <si>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</si>
  <si>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</si>
  <si>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</si>
  <si>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</si>
  <si>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</si>
  <si>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</si>
  <si>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</si>
  <si>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</si>
  <si>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</si>
  <si>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</si>
  <si>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</si>
  <si>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</si>
  <si>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</si>
  <si>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</si>
  <si>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</si>
  <si>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</si>
  <si>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</si>
  <si>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</si>
  <si>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</si>
  <si>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</si>
  <si>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</si>
  <si>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</si>
  <si>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</si>
  <si>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</si>
  <si>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</si>
  <si>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</si>
  <si>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</si>
  <si>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</si>
  <si>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</si>
  <si>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</si>
  <si>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</si>
  <si>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</si>
  <si>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</si>
  <si>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</si>
  <si>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</si>
  <si>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</si>
  <si>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</si>
  <si>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</si>
  <si>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</si>
  <si>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</si>
  <si>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</si>
  <si>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</si>
  <si>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</si>
  <si>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</si>
  <si>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</si>
  <si>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</si>
  <si>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</si>
  <si>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</si>
  <si>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</si>
  <si>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</si>
  <si>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</si>
  <si>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</si>
  <si>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</si>
  <si>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</si>
  <si>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</si>
  <si>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</si>
  <si>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</si>
  <si>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</si>
  <si>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</si>
  <si>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</si>
  <si>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</si>
  <si>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</si>
  <si>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</si>
  <si>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</si>
  <si>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</si>
  <si>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</si>
  <si>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</si>
  <si>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</si>
  <si>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</si>
  <si>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</si>
  <si>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</si>
  <si>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</si>
  <si>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</si>
  <si>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</si>
  <si>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</si>
  <si>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</si>
  <si>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</si>
  <si>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</si>
  <si>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</si>
  <si>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</si>
  <si>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</si>
  <si>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</si>
  <si>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</si>
  <si>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</si>
  <si>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</si>
  <si>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</si>
  <si>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</si>
  <si>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</si>
  <si>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</si>
  <si>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</si>
  <si>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</si>
  <si>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</si>
  <si>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</si>
  <si>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</si>
  <si>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</si>
  <si>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</si>
  <si>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</si>
  <si>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</si>
  <si>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</si>
  <si>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</si>
  <si>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</si>
  <si>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</si>
  <si>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</si>
  <si>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</si>
  <si>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</si>
  <si>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</si>
  <si>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</si>
  <si>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</si>
  <si>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</si>
  <si>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</si>
  <si>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</si>
  <si>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</si>
  <si>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</si>
  <si>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</si>
  <si>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</si>
  <si>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</si>
  <si>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</si>
  <si>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</si>
  <si>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</si>
  <si>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назначено на 2018 г.</t>
  </si>
  <si>
    <t>план на 2018 г.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</si>
  <si>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</si>
  <si>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</si>
  <si>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</si>
  <si>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</si>
  <si>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</si>
  <si>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</si>
  <si>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</si>
  <si>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</si>
  <si>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</si>
  <si>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</si>
  <si>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</si>
  <si>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</si>
  <si>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</si>
  <si>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</si>
  <si>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</si>
  <si>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</si>
  <si>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</si>
  <si>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</si>
  <si>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</si>
  <si>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</si>
  <si>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</si>
  <si>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</si>
  <si>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</si>
  <si>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</si>
  <si>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</si>
  <si>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</si>
  <si>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</si>
  <si>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</si>
  <si>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</si>
  <si>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</si>
  <si>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</si>
  <si>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</si>
  <si>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</si>
  <si>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</si>
  <si>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</si>
  <si>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</si>
  <si>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</si>
  <si>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</si>
  <si>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</si>
  <si>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</si>
  <si>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</si>
  <si>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</si>
  <si>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</si>
  <si>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</si>
  <si>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</si>
  <si>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</si>
  <si>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</si>
  <si>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</si>
  <si>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</si>
  <si>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</si>
  <si>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</si>
  <si>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</si>
  <si>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</si>
  <si>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</si>
  <si>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</si>
  <si>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</si>
  <si>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</si>
  <si>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</si>
  <si>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</si>
  <si>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</si>
  <si>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</si>
  <si>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</si>
  <si>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</si>
  <si>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>об исполнении бюджетов поселений  Моргаушского района  на 1 ноября 2018 г.</t>
  </si>
  <si>
    <t xml:space="preserve">Другие вопросы </t>
  </si>
  <si>
    <t>Доходы от эксплуатации имущества</t>
  </si>
  <si>
    <t xml:space="preserve">                          Моргаушского района на 01.01.2019 г. </t>
  </si>
  <si>
    <t>исполнено на 01.01.2019 г.</t>
  </si>
  <si>
    <t xml:space="preserve">исполнено на 01.01.2019 г. </t>
  </si>
  <si>
    <t>Анализ исполнения консолидированного бюджета Моргаушского районана 01.01.2019 г.</t>
  </si>
  <si>
    <t xml:space="preserve">                     Анализ исполнения бюджета Александровского сельского поселения на 01.01.2019 г.</t>
  </si>
  <si>
    <t>исполнен на 01.01.2019 г.</t>
  </si>
  <si>
    <t xml:space="preserve">                     Анализ исполнения бюджета Большесундырского сельского поселения на 01.01.2019 г.</t>
  </si>
  <si>
    <t xml:space="preserve">                     Анализ исполнения бюджета Ильинского сельского поселения на 01.01.2019 г.</t>
  </si>
  <si>
    <t xml:space="preserve">                     Анализ исполнения бюджета Кадикасинского сельского поселения на 01.01.2019 г.</t>
  </si>
  <si>
    <t xml:space="preserve">                     Анализ исполнения бюджета Моргаушского сельского поселения на 01.01.2019 г.</t>
  </si>
  <si>
    <t xml:space="preserve">                     Анализ исполнения бюджета Москакасинского сельского поселения на 01.01.2019 г.</t>
  </si>
  <si>
    <t xml:space="preserve">                     Анализ исполнения бюджета Орининского сельского поселения на 01.01.2019 г.</t>
  </si>
  <si>
    <t xml:space="preserve">                     Анализ исполнения бюджета Сятракасинского сельского поселения на 01.01.2019 г.</t>
  </si>
  <si>
    <t xml:space="preserve">                     Анализ исполнения бюджета Тораевского сельского поселения на 01.01.2019 г.</t>
  </si>
  <si>
    <t xml:space="preserve">                     Анализ исполнения бюджета Хорнойского сельского поселения на 01.01.2019 г.</t>
  </si>
  <si>
    <t xml:space="preserve">                     Анализ исполнения бюджета Чуманкасинского сельского поселения на 01.01.2019 г.</t>
  </si>
  <si>
    <t xml:space="preserve">                     Анализ исполнения бюджета Шатьмапосинского сельского поселения на 01.01.2019 г.</t>
  </si>
  <si>
    <t xml:space="preserve">                     Анализ исполнения бюджета Юнгинского сельского поселения на 01.01.2019 г.</t>
  </si>
  <si>
    <t xml:space="preserve">                     Анализ исполнения бюджета Юськасинского сельского поселения на 01.01.2019 г.</t>
  </si>
  <si>
    <t xml:space="preserve">                     Анализ исполнения бюджета Ярабайкасинского сельского поселения на 01.01.2019 г.</t>
  </si>
  <si>
    <t xml:space="preserve">                     Анализ исполнения бюджета Ярославского сельского поселения на 01.01.2019 г.</t>
  </si>
  <si>
    <t>исполнено на 01.01.2019 г</t>
  </si>
  <si>
    <t>исполнено на 01.01.2019г.</t>
  </si>
</sst>
</file>

<file path=xl/styles.xml><?xml version="1.0" encoding="utf-8"?>
<styleSheet xmlns="http://schemas.openxmlformats.org/spreadsheetml/2006/main">
  <numFmts count="2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  <numFmt numFmtId="183" formatCode="#,##0.0000"/>
    <numFmt numFmtId="184" formatCode="#,##0.0000000"/>
    <numFmt numFmtId="185" formatCode="_(* #,##0.000000_);_(* \(#,##0.000000\);_(* &quot;-&quot;??_);_(@_)"/>
    <numFmt numFmtId="186" formatCode="0.000"/>
    <numFmt numFmtId="187" formatCode="_(* #,##0.00000000_);_(* \(#,##0.00000000\);_(* &quot;-&quot;??_);_(@_)"/>
  </numFmts>
  <fonts count="38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TimesET"/>
    </font>
    <font>
      <sz val="12"/>
      <name val="TimesET"/>
      <charset val="204"/>
    </font>
    <font>
      <sz val="12"/>
      <color indexed="8"/>
      <name val="Arial Cyr"/>
      <charset val="204"/>
    </font>
    <font>
      <sz val="12"/>
      <color indexed="8"/>
      <name val="TimesET"/>
    </font>
    <font>
      <b/>
      <sz val="12"/>
      <name val="TimesET"/>
    </font>
    <font>
      <b/>
      <sz val="12"/>
      <color indexed="8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18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0" xfId="0" applyFont="1" applyFill="1"/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10" applyFont="1" applyFill="1" applyBorder="1" applyAlignment="1">
      <alignment vertical="center" wrapText="1"/>
    </xf>
    <xf numFmtId="0" fontId="20" fillId="3" borderId="1" xfId="10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/>
    <xf numFmtId="167" fontId="18" fillId="3" borderId="1" xfId="0" applyNumberFormat="1" applyFont="1" applyFill="1" applyBorder="1" applyAlignment="1">
      <alignment vertical="center" wrapText="1"/>
    </xf>
    <xf numFmtId="167" fontId="16" fillId="3" borderId="1" xfId="0" applyNumberFormat="1" applyFont="1" applyFill="1" applyBorder="1"/>
    <xf numFmtId="167" fontId="18" fillId="3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 applyAlignment="1">
      <alignment horizontal="right" vertical="center" wrapText="1"/>
    </xf>
    <xf numFmtId="167" fontId="21" fillId="3" borderId="1" xfId="0" applyNumberFormat="1" applyFont="1" applyFill="1" applyBorder="1" applyAlignment="1" applyProtection="1">
      <alignment vertical="center" wrapText="1"/>
      <protection locked="0"/>
    </xf>
    <xf numFmtId="167" fontId="17" fillId="3" borderId="1" xfId="0" applyNumberFormat="1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20" fillId="0" borderId="1" xfId="10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horizontal="right" vertical="center" wrapText="1"/>
    </xf>
    <xf numFmtId="167" fontId="21" fillId="0" borderId="1" xfId="0" applyNumberFormat="1" applyFont="1" applyFill="1" applyBorder="1" applyAlignment="1" applyProtection="1">
      <alignment vertical="center" wrapText="1"/>
      <protection locked="0"/>
    </xf>
    <xf numFmtId="167" fontId="16" fillId="0" borderId="1" xfId="0" applyNumberFormat="1" applyFont="1" applyFill="1" applyBorder="1"/>
    <xf numFmtId="0" fontId="18" fillId="4" borderId="0" xfId="0" applyFont="1" applyFill="1"/>
    <xf numFmtId="0" fontId="18" fillId="3" borderId="0" xfId="0" applyFont="1" applyFill="1" applyAlignment="1"/>
    <xf numFmtId="0" fontId="19" fillId="3" borderId="3" xfId="10" applyFont="1" applyFill="1" applyBorder="1" applyAlignment="1">
      <alignment vertical="center" wrapText="1"/>
    </xf>
    <xf numFmtId="0" fontId="20" fillId="3" borderId="5" xfId="10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 applyProtection="1">
      <alignment vertical="center" wrapText="1"/>
      <protection locked="0"/>
    </xf>
    <xf numFmtId="4" fontId="25" fillId="3" borderId="1" xfId="0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4" fontId="28" fillId="0" borderId="0" xfId="0" applyNumberFormat="1" applyFont="1" applyFill="1"/>
    <xf numFmtId="177" fontId="28" fillId="0" borderId="0" xfId="12" applyNumberFormat="1" applyFont="1" applyFill="1"/>
    <xf numFmtId="167" fontId="16" fillId="0" borderId="0" xfId="0" applyNumberFormat="1" applyFont="1" applyFill="1"/>
    <xf numFmtId="172" fontId="16" fillId="3" borderId="0" xfId="0" applyNumberFormat="1" applyFont="1" applyFill="1"/>
    <xf numFmtId="175" fontId="16" fillId="3" borderId="0" xfId="0" applyNumberFormat="1" applyFont="1" applyFill="1"/>
    <xf numFmtId="168" fontId="16" fillId="3" borderId="0" xfId="0" applyNumberFormat="1" applyFont="1" applyFill="1"/>
    <xf numFmtId="166" fontId="16" fillId="3" borderId="0" xfId="0" applyNumberFormat="1" applyFont="1" applyFill="1"/>
    <xf numFmtId="172" fontId="28" fillId="3" borderId="0" xfId="0" applyNumberFormat="1" applyFont="1" applyFill="1"/>
    <xf numFmtId="167" fontId="16" fillId="3" borderId="0" xfId="0" applyNumberFormat="1" applyFont="1" applyFill="1"/>
    <xf numFmtId="2" fontId="16" fillId="3" borderId="0" xfId="0" applyNumberFormat="1" applyFont="1" applyFill="1"/>
    <xf numFmtId="173" fontId="16" fillId="3" borderId="0" xfId="0" applyNumberFormat="1" applyFont="1" applyFill="1"/>
    <xf numFmtId="166" fontId="16" fillId="3" borderId="0" xfId="1" applyNumberFormat="1" applyFont="1" applyFill="1"/>
    <xf numFmtId="172" fontId="16" fillId="0" borderId="0" xfId="0" applyNumberFormat="1" applyFont="1" applyFill="1"/>
    <xf numFmtId="172" fontId="28" fillId="0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72" fontId="18" fillId="3" borderId="1" xfId="0" applyNumberFormat="1" applyFont="1" applyFill="1" applyBorder="1" applyAlignment="1">
      <alignment vertical="center" wrapText="1"/>
    </xf>
    <xf numFmtId="174" fontId="16" fillId="0" borderId="0" xfId="0" applyNumberFormat="1" applyFont="1" applyFill="1"/>
    <xf numFmtId="177" fontId="3" fillId="0" borderId="1" xfId="6" applyNumberFormat="1" applyFont="1" applyBorder="1" applyAlignment="1">
      <alignment horizontal="right" vertical="center"/>
    </xf>
    <xf numFmtId="0" fontId="19" fillId="5" borderId="1" xfId="10" applyFont="1" applyFill="1" applyBorder="1" applyAlignment="1">
      <alignment vertical="center" wrapText="1"/>
    </xf>
    <xf numFmtId="0" fontId="20" fillId="5" borderId="1" xfId="10" applyFont="1" applyFill="1" applyBorder="1" applyAlignment="1" applyProtection="1">
      <alignment vertical="center" wrapText="1"/>
      <protection locked="0"/>
    </xf>
    <xf numFmtId="167" fontId="18" fillId="5" borderId="1" xfId="0" applyNumberFormat="1" applyFont="1" applyFill="1" applyBorder="1" applyAlignment="1">
      <alignment vertical="center" wrapText="1"/>
    </xf>
    <xf numFmtId="167" fontId="16" fillId="5" borderId="1" xfId="0" applyNumberFormat="1" applyFont="1" applyFill="1" applyBorder="1"/>
    <xf numFmtId="167" fontId="18" fillId="5" borderId="1" xfId="0" applyNumberFormat="1" applyFont="1" applyFill="1" applyBorder="1" applyAlignment="1">
      <alignment horizontal="right" vertical="center" wrapText="1"/>
    </xf>
    <xf numFmtId="167" fontId="21" fillId="5" borderId="1" xfId="0" applyNumberFormat="1" applyFont="1" applyFill="1" applyBorder="1" applyAlignment="1" applyProtection="1">
      <alignment vertical="center" wrapText="1"/>
      <protection locked="0"/>
    </xf>
    <xf numFmtId="167" fontId="17" fillId="5" borderId="1" xfId="0" applyNumberFormat="1" applyFont="1" applyFill="1" applyBorder="1" applyAlignment="1">
      <alignment vertical="center" wrapText="1"/>
    </xf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67" fontId="26" fillId="3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1" fillId="3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7" fontId="25" fillId="0" borderId="1" xfId="0" applyNumberFormat="1" applyFont="1" applyFill="1" applyBorder="1" applyAlignment="1">
      <alignment vertical="center" wrapText="1"/>
    </xf>
    <xf numFmtId="166" fontId="5" fillId="0" borderId="0" xfId="9" applyNumberFormat="1" applyFont="1" applyFill="1"/>
    <xf numFmtId="0" fontId="11" fillId="0" borderId="1" xfId="11" applyFont="1" applyBorder="1"/>
    <xf numFmtId="0" fontId="12" fillId="0" borderId="1" xfId="11" applyFont="1" applyBorder="1" applyAlignment="1">
      <alignment wrapText="1"/>
    </xf>
    <xf numFmtId="0" fontId="11" fillId="0" borderId="1" xfId="11" applyFont="1" applyBorder="1" applyAlignment="1">
      <alignment wrapText="1"/>
    </xf>
    <xf numFmtId="0" fontId="12" fillId="0" borderId="1" xfId="11" applyFont="1" applyBorder="1"/>
    <xf numFmtId="0" fontId="12" fillId="0" borderId="1" xfId="11" applyFont="1" applyFill="1" applyBorder="1"/>
    <xf numFmtId="166" fontId="11" fillId="0" borderId="1" xfId="11" applyNumberFormat="1" applyFont="1" applyBorder="1" applyAlignment="1">
      <alignment wrapText="1"/>
    </xf>
    <xf numFmtId="0" fontId="11" fillId="0" borderId="1" xfId="11" applyFont="1" applyBorder="1" applyAlignment="1">
      <alignment vertical="top" wrapText="1"/>
    </xf>
    <xf numFmtId="0" fontId="12" fillId="0" borderId="1" xfId="11" applyFont="1" applyFill="1" applyBorder="1" applyAlignment="1">
      <alignment wrapText="1"/>
    </xf>
    <xf numFmtId="0" fontId="12" fillId="0" borderId="1" xfId="11" applyFont="1" applyBorder="1" applyAlignment="1">
      <alignment horizontal="left" wrapText="1"/>
    </xf>
    <xf numFmtId="0" fontId="11" fillId="0" borderId="1" xfId="11" applyFont="1" applyFill="1" applyBorder="1"/>
    <xf numFmtId="0" fontId="11" fillId="3" borderId="1" xfId="9" applyFont="1" applyFill="1" applyBorder="1" applyAlignment="1">
      <alignment wrapText="1"/>
    </xf>
    <xf numFmtId="0" fontId="12" fillId="3" borderId="1" xfId="9" applyFont="1" applyFill="1" applyBorder="1" applyAlignment="1">
      <alignment wrapText="1"/>
    </xf>
    <xf numFmtId="0" fontId="12" fillId="0" borderId="1" xfId="9" applyFont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2" fillId="0" borderId="1" xfId="8" applyFont="1" applyBorder="1" applyAlignment="1">
      <alignment wrapText="1"/>
    </xf>
    <xf numFmtId="0" fontId="31" fillId="0" borderId="1" xfId="7" applyFont="1" applyBorder="1" applyAlignment="1">
      <alignment wrapText="1"/>
    </xf>
    <xf numFmtId="0" fontId="12" fillId="0" borderId="1" xfId="9" applyFont="1" applyBorder="1" applyAlignment="1">
      <alignment horizontal="left" wrapText="1"/>
    </xf>
    <xf numFmtId="0" fontId="11" fillId="3" borderId="1" xfId="9" applyFont="1" applyFill="1" applyBorder="1" applyAlignment="1">
      <alignment horizontal="left" wrapText="1"/>
    </xf>
    <xf numFmtId="0" fontId="12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horizontal="center" wrapText="1"/>
    </xf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67" fontId="16" fillId="0" borderId="1" xfId="0" applyNumberFormat="1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vertical="center" wrapText="1"/>
    </xf>
    <xf numFmtId="167" fontId="18" fillId="0" borderId="1" xfId="0" applyNumberFormat="1" applyFont="1" applyFill="1" applyBorder="1" applyAlignment="1" applyProtection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</xf>
    <xf numFmtId="172" fontId="3" fillId="0" borderId="0" xfId="9" applyNumberFormat="1" applyFont="1"/>
    <xf numFmtId="166" fontId="32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 vertical="center"/>
    </xf>
    <xf numFmtId="166" fontId="33" fillId="0" borderId="0" xfId="9" applyNumberFormat="1" applyFont="1" applyAlignment="1">
      <alignment horizontal="right" vertical="center"/>
    </xf>
    <xf numFmtId="166" fontId="32" fillId="0" borderId="1" xfId="11" applyNumberFormat="1" applyFont="1" applyBorder="1" applyAlignment="1">
      <alignment horizontal="center" vertical="center" wrapText="1"/>
    </xf>
    <xf numFmtId="166" fontId="32" fillId="0" borderId="1" xfId="11" applyNumberFormat="1" applyFont="1" applyBorder="1" applyAlignment="1">
      <alignment horizontal="center" vertical="center"/>
    </xf>
    <xf numFmtId="1" fontId="32" fillId="0" borderId="1" xfId="9" applyNumberFormat="1" applyFont="1" applyBorder="1" applyAlignment="1">
      <alignment horizontal="center" vertical="center" wrapText="1"/>
    </xf>
    <xf numFmtId="166" fontId="32" fillId="0" borderId="1" xfId="6" applyNumberFormat="1" applyFont="1" applyBorder="1" applyAlignment="1">
      <alignment horizontal="right"/>
    </xf>
    <xf numFmtId="166" fontId="33" fillId="0" borderId="1" xfId="6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166" fontId="30" fillId="6" borderId="1" xfId="0" applyNumberFormat="1" applyFont="1" applyFill="1" applyBorder="1" applyAlignment="1">
      <alignment horizontal="center" vertical="center" wrapText="1"/>
    </xf>
    <xf numFmtId="167" fontId="30" fillId="3" borderId="1" xfId="0" applyNumberFormat="1" applyFont="1" applyFill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167" fontId="30" fillId="0" borderId="3" xfId="0" applyNumberFormat="1" applyFont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9" fontId="5" fillId="5" borderId="1" xfId="6" applyNumberFormat="1" applyFont="1" applyFill="1" applyBorder="1" applyAlignment="1">
      <alignment horizontal="right" vertical="center"/>
    </xf>
    <xf numFmtId="179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36" fillId="0" borderId="1" xfId="6" applyNumberFormat="1" applyFont="1" applyBorder="1" applyAlignment="1">
      <alignment horizontal="right"/>
    </xf>
    <xf numFmtId="0" fontId="37" fillId="0" borderId="1" xfId="11" applyFont="1" applyBorder="1" applyAlignment="1">
      <alignment horizontal="center"/>
    </xf>
    <xf numFmtId="0" fontId="37" fillId="0" borderId="1" xfId="11" applyFont="1" applyBorder="1" applyAlignment="1"/>
    <xf numFmtId="172" fontId="26" fillId="3" borderId="1" xfId="0" applyNumberFormat="1" applyFont="1" applyFill="1" applyBorder="1" applyAlignment="1">
      <alignment vertical="center" wrapText="1"/>
    </xf>
    <xf numFmtId="172" fontId="5" fillId="0" borderId="0" xfId="9" applyNumberFormat="1" applyFont="1"/>
    <xf numFmtId="172" fontId="18" fillId="0" borderId="1" xfId="0" applyNumberFormat="1" applyFont="1" applyFill="1" applyBorder="1" applyAlignment="1">
      <alignment vertical="center" wrapText="1"/>
    </xf>
    <xf numFmtId="172" fontId="18" fillId="5" borderId="1" xfId="0" applyNumberFormat="1" applyFont="1" applyFill="1" applyBorder="1" applyAlignment="1">
      <alignment vertical="center" wrapText="1"/>
    </xf>
    <xf numFmtId="173" fontId="27" fillId="0" borderId="1" xfId="0" applyNumberFormat="1" applyFont="1" applyFill="1" applyBorder="1" applyAlignment="1">
      <alignment vertical="center" wrapText="1"/>
    </xf>
    <xf numFmtId="183" fontId="25" fillId="3" borderId="1" xfId="0" applyNumberFormat="1" applyFont="1" applyFill="1" applyBorder="1" applyAlignment="1">
      <alignment vertical="center" wrapText="1"/>
    </xf>
    <xf numFmtId="166" fontId="33" fillId="0" borderId="1" xfId="11" applyNumberFormat="1" applyFont="1" applyFill="1" applyBorder="1" applyAlignment="1">
      <alignment horizontal="right" vertical="center"/>
    </xf>
    <xf numFmtId="166" fontId="33" fillId="0" borderId="1" xfId="0" applyNumberFormat="1" applyFont="1" applyBorder="1" applyAlignment="1">
      <alignment horizontal="right" vertical="center"/>
    </xf>
    <xf numFmtId="166" fontId="33" fillId="3" borderId="1" xfId="0" applyNumberFormat="1" applyFont="1" applyFill="1" applyBorder="1" applyAlignment="1">
      <alignment horizontal="right" vertical="center"/>
    </xf>
    <xf numFmtId="166" fontId="32" fillId="0" borderId="1" xfId="0" applyNumberFormat="1" applyFont="1" applyBorder="1" applyAlignment="1">
      <alignment horizontal="right" vertical="center"/>
    </xf>
    <xf numFmtId="166" fontId="32" fillId="0" borderId="2" xfId="11" applyNumberFormat="1" applyFont="1" applyBorder="1" applyAlignment="1">
      <alignment horizontal="right" vertical="center"/>
    </xf>
    <xf numFmtId="166" fontId="3" fillId="0" borderId="0" xfId="9" applyNumberFormat="1" applyFont="1" applyAlignment="1">
      <alignment horizontal="right"/>
    </xf>
    <xf numFmtId="180" fontId="26" fillId="3" borderId="1" xfId="0" applyNumberFormat="1" applyFont="1" applyFill="1" applyBorder="1" applyAlignment="1">
      <alignment vertical="center" wrapText="1"/>
    </xf>
    <xf numFmtId="172" fontId="7" fillId="0" borderId="0" xfId="8" applyNumberFormat="1" applyFont="1"/>
    <xf numFmtId="177" fontId="3" fillId="0" borderId="0" xfId="9" applyNumberFormat="1" applyFont="1"/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172" fontId="35" fillId="0" borderId="1" xfId="11" applyNumberFormat="1" applyFont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7" fontId="3" fillId="0" borderId="1" xfId="11" applyNumberFormat="1" applyFont="1" applyBorder="1" applyAlignment="1">
      <alignment horizontal="right" vertical="center"/>
    </xf>
    <xf numFmtId="177" fontId="3" fillId="3" borderId="1" xfId="12" applyNumberFormat="1" applyFont="1" applyFill="1" applyBorder="1" applyAlignment="1">
      <alignment horizontal="right" vertical="center"/>
    </xf>
    <xf numFmtId="177" fontId="3" fillId="0" borderId="1" xfId="12" applyNumberFormat="1" applyFont="1" applyBorder="1" applyAlignment="1">
      <alignment horizontal="right" vertical="center"/>
    </xf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74" fontId="3" fillId="0" borderId="1" xfId="11" applyNumberFormat="1" applyFont="1" applyBorder="1" applyAlignment="1">
      <alignment horizontal="right" vertical="center"/>
    </xf>
    <xf numFmtId="168" fontId="3" fillId="5" borderId="1" xfId="11" applyNumberFormat="1" applyFont="1" applyFill="1" applyBorder="1" applyAlignment="1">
      <alignment horizontal="right" vertical="center"/>
    </xf>
    <xf numFmtId="180" fontId="3" fillId="0" borderId="1" xfId="11" applyNumberFormat="1" applyFont="1" applyBorder="1" applyAlignment="1">
      <alignment horizontal="right" vertical="center"/>
    </xf>
    <xf numFmtId="180" fontId="3" fillId="3" borderId="1" xfId="12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84" fontId="3" fillId="3" borderId="1" xfId="12" applyNumberFormat="1" applyFont="1" applyFill="1" applyBorder="1" applyAlignment="1">
      <alignment horizontal="right" vertical="center"/>
    </xf>
    <xf numFmtId="180" fontId="3" fillId="0" borderId="1" xfId="12" applyNumberFormat="1" applyFont="1" applyBorder="1" applyAlignment="1">
      <alignment horizontal="right" vertical="center"/>
    </xf>
    <xf numFmtId="186" fontId="3" fillId="0" borderId="1" xfId="11" applyNumberFormat="1" applyFont="1" applyBorder="1" applyAlignment="1">
      <alignment horizontal="right" vertical="center"/>
    </xf>
    <xf numFmtId="174" fontId="3" fillId="5" borderId="1" xfId="12" applyNumberFormat="1" applyFont="1" applyFill="1" applyBorder="1" applyAlignment="1">
      <alignment horizontal="right" vertical="center"/>
    </xf>
    <xf numFmtId="168" fontId="3" fillId="0" borderId="1" xfId="12" applyNumberFormat="1" applyFont="1" applyBorder="1" applyAlignment="1">
      <alignment horizontal="right" vertical="center"/>
    </xf>
    <xf numFmtId="185" fontId="3" fillId="0" borderId="1" xfId="11" applyNumberFormat="1" applyFont="1" applyBorder="1" applyAlignment="1">
      <alignment horizontal="right" vertical="center"/>
    </xf>
    <xf numFmtId="180" fontId="18" fillId="0" borderId="1" xfId="0" applyNumberFormat="1" applyFont="1" applyFill="1" applyBorder="1" applyAlignment="1" applyProtection="1">
      <alignment vertical="center" wrapText="1"/>
      <protection locked="0"/>
    </xf>
    <xf numFmtId="180" fontId="18" fillId="5" borderId="1" xfId="0" applyNumberFormat="1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>
      <alignment vertical="center" wrapText="1"/>
    </xf>
    <xf numFmtId="180" fontId="18" fillId="5" borderId="1" xfId="0" applyNumberFormat="1" applyFont="1" applyFill="1" applyBorder="1" applyAlignment="1">
      <alignment vertical="center" wrapText="1"/>
    </xf>
    <xf numFmtId="180" fontId="25" fillId="3" borderId="1" xfId="0" applyNumberFormat="1" applyFont="1" applyFill="1" applyBorder="1" applyAlignment="1">
      <alignment vertical="center" wrapText="1"/>
    </xf>
    <xf numFmtId="172" fontId="26" fillId="0" borderId="1" xfId="0" applyNumberFormat="1" applyFont="1" applyFill="1" applyBorder="1" applyAlignment="1">
      <alignment vertical="center" wrapText="1"/>
    </xf>
    <xf numFmtId="168" fontId="3" fillId="0" borderId="1" xfId="1" applyNumberFormat="1" applyFont="1" applyBorder="1" applyAlignment="1">
      <alignment horizontal="right" vertical="center"/>
    </xf>
    <xf numFmtId="0" fontId="19" fillId="0" borderId="1" xfId="10" applyFont="1" applyFill="1" applyBorder="1" applyAlignment="1">
      <alignment vertical="center" wrapText="1"/>
    </xf>
    <xf numFmtId="180" fontId="18" fillId="0" borderId="1" xfId="0" applyNumberFormat="1" applyFont="1" applyFill="1" applyBorder="1" applyAlignment="1">
      <alignment vertical="center" wrapText="1"/>
    </xf>
    <xf numFmtId="167" fontId="17" fillId="0" borderId="1" xfId="0" applyNumberFormat="1" applyFont="1" applyFill="1" applyBorder="1" applyAlignment="1">
      <alignment vertical="center" wrapText="1"/>
    </xf>
    <xf numFmtId="168" fontId="18" fillId="0" borderId="0" xfId="0" applyNumberFormat="1" applyFont="1" applyFill="1" applyBorder="1"/>
    <xf numFmtId="172" fontId="18" fillId="0" borderId="0" xfId="0" applyNumberFormat="1" applyFont="1" applyFill="1"/>
    <xf numFmtId="0" fontId="18" fillId="0" borderId="0" xfId="0" applyFont="1" applyFill="1"/>
    <xf numFmtId="0" fontId="22" fillId="0" borderId="1" xfId="10" applyFont="1" applyFill="1" applyBorder="1" applyAlignment="1">
      <alignment vertical="center" wrapText="1"/>
    </xf>
    <xf numFmtId="175" fontId="3" fillId="0" borderId="1" xfId="11" applyNumberFormat="1" applyFont="1" applyBorder="1" applyAlignment="1">
      <alignment horizontal="right" vertical="center"/>
    </xf>
    <xf numFmtId="176" fontId="3" fillId="0" borderId="1" xfId="9" applyNumberFormat="1" applyFont="1" applyBorder="1" applyAlignment="1">
      <alignment horizontal="right" vertical="center"/>
    </xf>
    <xf numFmtId="176" fontId="5" fillId="0" borderId="1" xfId="9" applyNumberFormat="1" applyFont="1" applyBorder="1" applyAlignment="1">
      <alignment horizontal="right" vertical="center"/>
    </xf>
    <xf numFmtId="176" fontId="5" fillId="0" borderId="1" xfId="9" applyNumberFormat="1" applyFont="1" applyBorder="1" applyAlignment="1">
      <alignment horizontal="right"/>
    </xf>
    <xf numFmtId="176" fontId="5" fillId="0" borderId="1" xfId="6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77" fontId="5" fillId="0" borderId="1" xfId="6" applyNumberFormat="1" applyFont="1" applyBorder="1" applyAlignment="1">
      <alignment horizontal="right" vertical="center"/>
    </xf>
    <xf numFmtId="174" fontId="5" fillId="0" borderId="1" xfId="11" applyNumberFormat="1" applyFont="1" applyBorder="1" applyAlignment="1">
      <alignment horizontal="right" vertical="center"/>
    </xf>
    <xf numFmtId="174" fontId="5" fillId="0" borderId="1" xfId="11" applyNumberFormat="1" applyFont="1" applyFill="1" applyBorder="1" applyAlignment="1">
      <alignment horizontal="right" vertical="center"/>
    </xf>
    <xf numFmtId="174" fontId="5" fillId="0" borderId="1" xfId="0" applyNumberFormat="1" applyFont="1" applyBorder="1" applyAlignment="1">
      <alignment horizontal="right" vertical="center"/>
    </xf>
    <xf numFmtId="174" fontId="3" fillId="0" borderId="1" xfId="11" applyNumberFormat="1" applyFont="1" applyFill="1" applyBorder="1" applyAlignment="1">
      <alignment horizontal="right" vertical="center"/>
    </xf>
    <xf numFmtId="166" fontId="33" fillId="5" borderId="1" xfId="11" applyNumberFormat="1" applyFont="1" applyFill="1" applyBorder="1" applyAlignment="1">
      <alignment horizontal="right" vertical="center"/>
    </xf>
    <xf numFmtId="174" fontId="5" fillId="3" borderId="1" xfId="0" applyNumberFormat="1" applyFont="1" applyFill="1" applyBorder="1" applyAlignment="1">
      <alignment horizontal="right" vertical="center"/>
    </xf>
    <xf numFmtId="174" fontId="3" fillId="0" borderId="1" xfId="0" applyNumberFormat="1" applyFont="1" applyBorder="1" applyAlignment="1">
      <alignment horizontal="right" vertical="center"/>
    </xf>
    <xf numFmtId="174" fontId="3" fillId="3" borderId="1" xfId="12" applyNumberFormat="1" applyFont="1" applyFill="1" applyBorder="1" applyAlignment="1">
      <alignment horizontal="right" vertical="center"/>
    </xf>
    <xf numFmtId="177" fontId="5" fillId="0" borderId="1" xfId="9" applyNumberFormat="1" applyFont="1" applyBorder="1" applyAlignment="1">
      <alignment horizontal="right"/>
    </xf>
    <xf numFmtId="177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74" fontId="5" fillId="2" borderId="1" xfId="2" applyNumberFormat="1" applyFont="1" applyFill="1" applyBorder="1" applyAlignment="1">
      <alignment horizontal="right" vertical="center" shrinkToFit="1"/>
    </xf>
    <xf numFmtId="174" fontId="5" fillId="2" borderId="1" xfId="3" applyNumberFormat="1" applyFont="1" applyFill="1" applyBorder="1" applyAlignment="1">
      <alignment horizontal="right" vertical="center" shrinkToFit="1"/>
    </xf>
    <xf numFmtId="174" fontId="5" fillId="2" borderId="1" xfId="4" applyNumberFormat="1" applyFont="1" applyFill="1" applyBorder="1" applyAlignment="1">
      <alignment horizontal="right" vertical="center" shrinkToFit="1"/>
    </xf>
    <xf numFmtId="187" fontId="3" fillId="0" borderId="1" xfId="9" applyNumberFormat="1" applyFont="1" applyBorder="1" applyAlignment="1">
      <alignment horizontal="right" vertical="center"/>
    </xf>
    <xf numFmtId="187" fontId="5" fillId="0" borderId="1" xfId="9" applyNumberFormat="1" applyFont="1" applyBorder="1" applyAlignment="1">
      <alignment horizontal="right" vertical="center"/>
    </xf>
    <xf numFmtId="187" fontId="5" fillId="0" borderId="1" xfId="9" applyNumberFormat="1" applyFont="1" applyBorder="1" applyAlignment="1">
      <alignment horizontal="right"/>
    </xf>
    <xf numFmtId="187" fontId="3" fillId="0" borderId="1" xfId="6" applyNumberFormat="1" applyFont="1" applyBorder="1" applyAlignment="1">
      <alignment horizontal="right" vertical="center"/>
    </xf>
    <xf numFmtId="172" fontId="18" fillId="3" borderId="1" xfId="0" applyNumberFormat="1" applyFont="1" applyFill="1" applyBorder="1" applyAlignment="1" applyProtection="1">
      <alignment vertical="center" wrapText="1"/>
      <protection locked="0"/>
    </xf>
    <xf numFmtId="172" fontId="18" fillId="0" borderId="1" xfId="0" applyNumberFormat="1" applyFont="1" applyFill="1" applyBorder="1" applyAlignment="1" applyProtection="1">
      <alignment vertical="center" wrapText="1"/>
      <protection locked="0"/>
    </xf>
    <xf numFmtId="172" fontId="18" fillId="5" borderId="1" xfId="0" applyNumberFormat="1" applyFont="1" applyFill="1" applyBorder="1" applyAlignment="1" applyProtection="1">
      <alignment vertical="center" wrapText="1"/>
      <protection locked="0"/>
    </xf>
    <xf numFmtId="182" fontId="26" fillId="3" borderId="1" xfId="0" applyNumberFormat="1" applyFont="1" applyFill="1" applyBorder="1" applyAlignment="1">
      <alignment vertical="center" wrapText="1"/>
    </xf>
    <xf numFmtId="175" fontId="3" fillId="0" borderId="1" xfId="1" applyNumberFormat="1" applyFont="1" applyBorder="1" applyAlignment="1">
      <alignment horizontal="right" vertical="center"/>
    </xf>
    <xf numFmtId="168" fontId="5" fillId="0" borderId="1" xfId="11" applyNumberFormat="1" applyFont="1" applyFill="1" applyBorder="1" applyAlignment="1">
      <alignment horizontal="right" vertical="center"/>
    </xf>
    <xf numFmtId="168" fontId="3" fillId="0" borderId="1" xfId="9" applyNumberFormat="1" applyFont="1" applyBorder="1" applyAlignment="1">
      <alignment horizontal="right" vertical="center"/>
    </xf>
    <xf numFmtId="2" fontId="3" fillId="0" borderId="1" xfId="6" applyNumberFormat="1" applyFont="1" applyBorder="1" applyAlignment="1">
      <alignment horizontal="right" vertical="center"/>
    </xf>
    <xf numFmtId="185" fontId="3" fillId="0" borderId="1" xfId="6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6" fontId="5" fillId="0" borderId="1" xfId="11" applyNumberFormat="1" applyFont="1" applyFill="1" applyBorder="1" applyAlignment="1">
      <alignment horizontal="right" vertical="center"/>
    </xf>
    <xf numFmtId="173" fontId="26" fillId="3" borderId="1" xfId="0" applyNumberFormat="1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vertical="center" wrapText="1"/>
    </xf>
    <xf numFmtId="167" fontId="18" fillId="0" borderId="1" xfId="0" applyNumberFormat="1" applyFont="1" applyFill="1" applyBorder="1"/>
    <xf numFmtId="167" fontId="18" fillId="5" borderId="1" xfId="0" applyNumberFormat="1" applyFont="1" applyFill="1" applyBorder="1"/>
    <xf numFmtId="186" fontId="32" fillId="3" borderId="1" xfId="1" applyNumberFormat="1" applyFont="1" applyFill="1" applyBorder="1" applyAlignment="1">
      <alignment horizontal="right" vertical="center"/>
    </xf>
    <xf numFmtId="166" fontId="33" fillId="3" borderId="1" xfId="12" applyNumberFormat="1" applyFont="1" applyFill="1" applyBorder="1" applyAlignment="1">
      <alignment horizontal="right" vertical="center"/>
    </xf>
    <xf numFmtId="166" fontId="33" fillId="3" borderId="1" xfId="11" applyNumberFormat="1" applyFont="1" applyFill="1" applyBorder="1" applyAlignment="1">
      <alignment horizontal="right" vertical="center"/>
    </xf>
    <xf numFmtId="166" fontId="32" fillId="3" borderId="1" xfId="1" applyNumberFormat="1" applyFont="1" applyFill="1" applyBorder="1" applyAlignment="1">
      <alignment horizontal="right" vertical="center"/>
    </xf>
    <xf numFmtId="166" fontId="33" fillId="2" borderId="1" xfId="2" applyNumberFormat="1" applyFont="1" applyFill="1" applyBorder="1" applyAlignment="1">
      <alignment horizontal="right" vertical="center" shrinkToFit="1"/>
    </xf>
    <xf numFmtId="166" fontId="33" fillId="2" borderId="1" xfId="3" applyNumberFormat="1" applyFont="1" applyFill="1" applyBorder="1" applyAlignment="1">
      <alignment horizontal="right" vertical="center" shrinkToFit="1"/>
    </xf>
    <xf numFmtId="166" fontId="33" fillId="2" borderId="1" xfId="4" applyNumberFormat="1" applyFont="1" applyFill="1" applyBorder="1" applyAlignment="1">
      <alignment horizontal="right" vertical="center" shrinkToFit="1"/>
    </xf>
    <xf numFmtId="166" fontId="32" fillId="0" borderId="1" xfId="11" applyNumberFormat="1" applyFont="1" applyFill="1" applyBorder="1" applyAlignment="1">
      <alignment horizontal="right" vertical="center"/>
    </xf>
    <xf numFmtId="166" fontId="32" fillId="5" borderId="1" xfId="12" applyNumberFormat="1" applyFont="1" applyFill="1" applyBorder="1" applyAlignment="1">
      <alignment horizontal="right" vertical="center"/>
    </xf>
    <xf numFmtId="166" fontId="32" fillId="0" borderId="1" xfId="11" applyNumberFormat="1" applyFont="1" applyFill="1" applyBorder="1" applyAlignment="1">
      <alignment horizontal="center" vertical="center" wrapText="1"/>
    </xf>
    <xf numFmtId="166" fontId="32" fillId="0" borderId="1" xfId="9" applyNumberFormat="1" applyFont="1" applyBorder="1" applyAlignment="1">
      <alignment horizontal="center" vertical="center" wrapText="1"/>
    </xf>
    <xf numFmtId="166" fontId="33" fillId="0" borderId="1" xfId="9" applyNumberFormat="1" applyFont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/>
    </xf>
    <xf numFmtId="166" fontId="32" fillId="0" borderId="1" xfId="6" applyNumberFormat="1" applyFont="1" applyBorder="1" applyAlignment="1">
      <alignment horizontal="right" vertical="center"/>
    </xf>
    <xf numFmtId="166" fontId="32" fillId="5" borderId="1" xfId="9" applyNumberFormat="1" applyFont="1" applyFill="1" applyBorder="1" applyAlignment="1">
      <alignment horizontal="right" vertical="center"/>
    </xf>
    <xf numFmtId="166" fontId="33" fillId="2" borderId="1" xfId="5" applyNumberFormat="1" applyFont="1" applyFill="1" applyBorder="1" applyAlignment="1">
      <alignment horizontal="right" vertical="top" shrinkToFit="1"/>
    </xf>
    <xf numFmtId="166" fontId="32" fillId="0" borderId="1" xfId="12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/>
    </xf>
    <xf numFmtId="166" fontId="3" fillId="0" borderId="0" xfId="9" applyNumberFormat="1" applyFont="1" applyAlignment="1">
      <alignment horizontal="right" vertical="center"/>
    </xf>
    <xf numFmtId="166" fontId="32" fillId="5" borderId="1" xfId="11" applyNumberFormat="1" applyFont="1" applyFill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 vertical="center" wrapText="1"/>
    </xf>
    <xf numFmtId="166" fontId="33" fillId="0" borderId="1" xfId="6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23" fillId="3" borderId="3" xfId="10" applyNumberFormat="1" applyFont="1" applyFill="1" applyBorder="1" applyAlignment="1">
      <alignment horizontal="center" vertical="center" wrapText="1"/>
    </xf>
    <xf numFmtId="4" fontId="23" fillId="3" borderId="5" xfId="1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798" Type="http://schemas.openxmlformats.org/officeDocument/2006/relationships/revisionLog" Target="revisionLog11.xml"/><Relationship Id="rId79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8F7BCDE4-D361-4764-90F2-9987CFAA9463}" diskRevisions="1" revisionId="26874" version="2">
  <header guid="{5DDDA8C7-95D5-4990-9E40-0BD95539D9C2}" dateTime="2019-01-16T14:43:04" maxSheetId="22" userName="morgau_fin7" r:id="rId798" minRId="26818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8F7BCDE4-D361-4764-90F2-9987CFAA9463}" dateTime="2019-05-10T14:13:45" maxSheetId="22" userName="1" r:id="rId799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487FB2A4_0730_401E_81DB_8304F8599D85_.wvu.PrintArea" hidden="1" oldHidden="1">
    <formula>Консол!$A$1:$K$50</formula>
  </rdn>
  <rdn rId="0" localSheetId="1" customView="1" name="Z_487FB2A4_0730_401E_81DB_8304F8599D85_.wvu.Rows" hidden="1" oldHidden="1">
    <formula>Консол!$22:$22,Консол!$43:$45,Консол!$82:$84</formula>
  </rdn>
  <rdn rId="0" localSheetId="2" customView="1" name="Z_487FB2A4_0730_401E_81DB_8304F8599D85_.wvu.PrintArea" hidden="1" oldHidden="1">
    <formula>Справка!$A$1:$EY$31</formula>
  </rdn>
  <rdn rId="0" localSheetId="2" customView="1" name="Z_487FB2A4_0730_401E_81DB_8304F8599D85_.wvu.Rows" hidden="1" oldHidden="1">
    <formula>Справка!$33:$33</formula>
  </rdn>
  <rdn rId="0" localSheetId="2" customView="1" name="Z_487FB2A4_0730_401E_81DB_8304F8599D85_.wvu.Cols" hidden="1" oldHidden="1">
    <formula>Справка!$AV:$AX,Справка!$BB:$BD,Справка!$BH:$BM,Справка!$BT:$BY,Справка!$CX:$DF</formula>
  </rdn>
  <rdn rId="0" localSheetId="3" customView="1" name="Z_487FB2A4_0730_401E_81DB_8304F8599D85_.wvu.Rows" hidden="1" oldHidden="1">
    <formula>район!$17:$18,район!$20:$20,район!$28:$30,район!$50:$51,район!$75:$75,район!$82:$82,район!$99:$99,район!$105:$105,район!$132:$134</formula>
  </rdn>
  <rdn rId="0" localSheetId="4" customView="1" name="Z_487FB2A4_0730_401E_81DB_8304F8599D85_.wvu.Rows" hidden="1" oldHidden="1">
    <formula>Але!$19:$24,Але!$44:$44,Але!$46:$46,Але!$53:$53,Але!$55:$56,Але!$63:$64,Але!$73:$74,Але!$78:$82,Але!$86:$88</formula>
  </rdn>
  <rdn rId="0" localSheetId="5" customView="1" name="Z_487FB2A4_0730_401E_81DB_8304F8599D85_.wvu.Rows" hidden="1" oldHidden="1">
    <formula>Сун!$19:$24,Сун!$49:$51,Сун!$58:$58,Сун!$60:$61,Сун!$68:$69,Сун!$78:$79,Сун!$81:$81,Сун!$87:$88,Сун!$92:$96</formula>
  </rdn>
  <rdn rId="0" localSheetId="6" customView="1" name="Z_487FB2A4_0730_401E_81DB_8304F8599D85_.wvu.PrintArea" hidden="1" oldHidden="1">
    <formula>Иль!$A$1:$F$104</formula>
  </rdn>
  <rdn rId="0" localSheetId="6" customView="1" name="Z_487FB2A4_0730_401E_81DB_8304F8599D85_.wvu.Rows" hidden="1" oldHidden="1">
    <formula>Иль!$19:$24,Иль!$30:$31,Иль!$33:$33,Иль!$45:$45,Иль!$50:$50,Иль!$60:$61,Иль!$68:$69,Иль!$78:$79,Иль!$81:$81,Иль!$93:$97</formula>
  </rdn>
  <rdn rId="0" localSheetId="7" customView="1" name="Z_487FB2A4_0730_401E_81DB_8304F8599D85_.wvu.Rows" hidden="1" oldHidden="1">
    <formula>Кад!$19:$24,Кад!$44:$44,Кад!$56:$56,Кад!$58:$59,Кад!$66:$67,Кад!$82:$84,Кад!$88:$95</formula>
  </rdn>
  <rdn rId="0" localSheetId="8" customView="1" name="Z_487FB2A4_0730_401E_81DB_8304F8599D85_.wvu.PrintArea" hidden="1" oldHidden="1">
    <formula>Мор!$A$1:$F$100</formula>
  </rdn>
  <rdn rId="0" localSheetId="8" customView="1" name="Z_487FB2A4_0730_401E_81DB_8304F8599D85_.wvu.Rows" hidden="1" oldHidden="1">
    <formula>Мор!$21:$21,Мор!$23:$23,Мор!$37:$37,Мор!$44:$44,Мор!$47:$47,Мор!$49:$50,Мор!$57:$57,Мор!$59:$60,Мор!$67:$68,Мор!$82:$87,Мор!$90:$96</formula>
  </rdn>
  <rdn rId="0" localSheetId="9" customView="1" name="Z_487FB2A4_0730_401E_81DB_8304F8599D85_.wvu.Rows" hidden="1" oldHidden="1">
    <formula>Мос!$19:$24,Мос!$44:$44,Мос!$57:$57,Мос!$59:$60,Мос!$67:$68,Мос!$80:$80,Мос!$82:$88,Мос!$93:$98</formula>
  </rdn>
  <rdn rId="0" localSheetId="10" customView="1" name="Z_487FB2A4_0730_401E_81DB_8304F8599D85_.wvu.Rows" hidden="1" oldHidden="1">
    <formula>Ори!$19:$24,Ори!$32:$32,Ори!$44:$44,Ори!$48:$50,Ори!$57:$57,Ори!$59:$60,Ори!$67:$68,Ори!$77:$78,Ори!$80:$80,Ори!$82:$86,Ори!$90:$97</formula>
  </rdn>
  <rdn rId="0" localSheetId="11" customView="1" name="Z_487FB2A4_0730_401E_81DB_8304F8599D85_.wvu.Rows" hidden="1" oldHidden="1">
    <formula>Сят!$19:$19,Сят!$45:$47,Сят!$57:$57,Сят!$59:$60,Сят!$67:$68,Сят!$82:$85,Сят!$89:$96</formula>
  </rdn>
  <rdn rId="0" localSheetId="12" customView="1" name="Z_487FB2A4_0730_401E_81DB_8304F8599D85_.wvu.PrintArea" hidden="1" oldHidden="1">
    <formula>Тор!$A$1:$F$101</formula>
  </rdn>
  <rdn rId="0" localSheetId="12" customView="1" name="Z_487FB2A4_0730_401E_81DB_8304F8599D85_.wvu.Rows" hidden="1" oldHidden="1">
    <formula>Тор!$19:$19,Тор!$50:$50,Тор!$57:$57,Тор!$59:$60,Тор!$67:$68,Тор!$74:$74,Тор!$78:$79,Тор!$82:$93</formula>
  </rdn>
  <rdn rId="0" localSheetId="13" customView="1" name="Z_487FB2A4_0730_401E_81DB_8304F8599D85_.wvu.Rows" hidden="1" oldHidden="1">
    <formula>Хор!$19:$24,Хор!$32:$32,Хор!$40:$40,Хор!$44:$44,Хор!$55:$55,Хор!$57:$58,Хор!$65:$66,Хор!$80:$84,Хор!$87:$94</formula>
  </rdn>
  <rdn rId="0" localSheetId="14" customView="1" name="Z_487FB2A4_0730_401E_81DB_8304F8599D85_.wvu.Rows" hidden="1" oldHidden="1">
    <formula>Чум!$19:$19,Чум!$21:$21,Чум!$23:$24,Чум!$47:$49,Чум!$57:$57,Чум!$59:$60,Чум!$67:$68,Чум!$82:$86,Чум!$89:$96</formula>
  </rdn>
  <rdn rId="0" localSheetId="15" customView="1" name="Z_487FB2A4_0730_401E_81DB_8304F8599D85_.wvu.Rows" hidden="1" oldHidden="1">
    <formula>Шать!$19:$24,Шать!$47:$49,Шать!$57:$57,Шать!$59:$60,Шать!$67:$68,Шать!$77:$78,Шать!$82:$86,Шать!$89:$96</formula>
  </rdn>
  <rdn rId="0" localSheetId="16" customView="1" name="Z_487FB2A4_0730_401E_81DB_8304F8599D85_.wvu.PrintArea" hidden="1" oldHidden="1">
    <formula>Юнг!$A$1:$F$99</formula>
  </rdn>
  <rdn rId="0" localSheetId="16" customView="1" name="Z_487FB2A4_0730_401E_81DB_8304F8599D85_.wvu.Rows" hidden="1" oldHidden="1">
    <formula>Юнг!$19:$24,Юнг!$32:$32,Юнг!$49:$49,Юнг!$56:$56,Юнг!$58:$59,Юнг!$66:$67,Юнг!$81:$85,Юнг!$88:$95</formula>
  </rdn>
  <rdn rId="0" localSheetId="17" customView="1" name="Z_487FB2A4_0730_401E_81DB_8304F8599D85_.wvu.Rows" hidden="1" oldHidden="1">
    <formula>Юсь!$20:$24,Юсь!$40:$40,Юсь!$44:$49,Юсь!$58:$58,Юсь!$60:$61,Юсь!$68:$69,Юсь!$78:$79,Юсь!$82:$87,Юсь!$90:$97</formula>
  </rdn>
  <rdn rId="0" localSheetId="18" customView="1" name="Z_487FB2A4_0730_401E_81DB_8304F8599D85_.wvu.PrintArea" hidden="1" oldHidden="1">
    <formula>Яра!$A$1:$F$102</formula>
  </rdn>
  <rdn rId="0" localSheetId="18" customView="1" name="Z_487FB2A4_0730_401E_81DB_8304F8599D85_.wvu.Rows" hidden="1" oldHidden="1">
    <formula>Яра!$19:$24,Яра!$46:$50,Яра!$58:$58,Яра!$60:$61,Яра!$68:$69,Яра!$79:$79,Яра!$82:$88,Яра!$91:$98</formula>
  </rdn>
  <rdn rId="0" localSheetId="19" customView="1" name="Z_487FB2A4_0730_401E_81DB_8304F8599D85_.wvu.Rows" hidden="1" oldHidden="1">
    <formula>Яро!$19:$24,Яро!$29:$30,Яро!$32:$32,Яро!$43:$43,Яро!$54:$54,Яро!$56:$57,Яро!$64:$65,Яро!$74:$75,Яро!$79:$84,Яро!$86:$93</formula>
  </rdn>
  <rdn rId="0" localSheetId="20" customView="1" name="Z_487FB2A4_0730_401E_81DB_8304F8599D85_.wvu.Rows" hidden="1" oldHidden="1">
    <formula>Лист1!$82:$84</formula>
  </rdn>
  <rcv guid="{487FB2A4-0730-401E-81DB-8304F8599D85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fmt sheetId="3" sqref="D1:D1048576">
    <dxf>
      <numFmt numFmtId="178" formatCode="0.0000000"/>
    </dxf>
  </rfmt>
  <rfmt sheetId="3" sqref="D1:D1048576">
    <dxf>
      <numFmt numFmtId="174" formatCode="0.000000"/>
    </dxf>
  </rfmt>
  <rfmt sheetId="3" sqref="D1:D1048576">
    <dxf>
      <numFmt numFmtId="168" formatCode="0.00000"/>
    </dxf>
  </rfmt>
  <rfmt sheetId="3" sqref="D1:D1048576">
    <dxf>
      <numFmt numFmtId="175" formatCode="0.0000"/>
    </dxf>
  </rfmt>
  <rfmt sheetId="3" sqref="D1:D1048576">
    <dxf>
      <numFmt numFmtId="186" formatCode="0.000"/>
    </dxf>
  </rfmt>
  <rfmt sheetId="3" sqref="D1:D1048576">
    <dxf>
      <numFmt numFmtId="2" formatCode="0.00"/>
    </dxf>
  </rfmt>
  <rfmt sheetId="3" sqref="D1:D1048576">
    <dxf>
      <numFmt numFmtId="166" formatCode="0.0"/>
    </dxf>
  </rfmt>
  <rfmt sheetId="3" sqref="C52">
    <dxf>
      <numFmt numFmtId="186" formatCode="0.000"/>
    </dxf>
  </rfmt>
  <rfmt sheetId="3" sqref="C52">
    <dxf>
      <numFmt numFmtId="2" formatCode="0.00"/>
    </dxf>
  </rfmt>
  <rfmt sheetId="3" sqref="C52">
    <dxf>
      <numFmt numFmtId="166" formatCode="0.0"/>
    </dxf>
  </rfmt>
  <rfmt sheetId="3" sqref="C83:C84">
    <dxf>
      <numFmt numFmtId="175" formatCode="0.0000"/>
    </dxf>
  </rfmt>
  <rfmt sheetId="3" sqref="C83:C84">
    <dxf>
      <numFmt numFmtId="186" formatCode="0.000"/>
    </dxf>
  </rfmt>
  <rfmt sheetId="3" sqref="C83:C84">
    <dxf>
      <numFmt numFmtId="2" formatCode="0.00"/>
    </dxf>
  </rfmt>
  <rfmt sheetId="3" sqref="C83:C84">
    <dxf>
      <numFmt numFmtId="166" formatCode="0.0"/>
    </dxf>
  </rfmt>
  <rfmt sheetId="3" sqref="C88:C143">
    <dxf>
      <numFmt numFmtId="174" formatCode="0.000000"/>
    </dxf>
  </rfmt>
  <rfmt sheetId="3" sqref="C88:C143">
    <dxf>
      <numFmt numFmtId="178" formatCode="0.0000000"/>
    </dxf>
  </rfmt>
  <rfmt sheetId="3" sqref="C88:C143">
    <dxf>
      <numFmt numFmtId="174" formatCode="0.000000"/>
    </dxf>
  </rfmt>
  <rfmt sheetId="3" sqref="C88:C143">
    <dxf>
      <numFmt numFmtId="168" formatCode="0.00000"/>
    </dxf>
  </rfmt>
  <rfmt sheetId="3" sqref="C88:C143">
    <dxf>
      <numFmt numFmtId="175" formatCode="0.0000"/>
    </dxf>
  </rfmt>
  <rfmt sheetId="3" sqref="C88:C143">
    <dxf>
      <numFmt numFmtId="186" formatCode="0.000"/>
    </dxf>
  </rfmt>
  <rfmt sheetId="3" sqref="C88:C143">
    <dxf>
      <numFmt numFmtId="2" formatCode="0.00"/>
    </dxf>
  </rfmt>
  <rfmt sheetId="3" sqref="C88:C143">
    <dxf>
      <numFmt numFmtId="166" formatCode="0.0"/>
    </dxf>
  </rfmt>
  <rcc rId="26818" sId="3">
    <oc r="E137">
      <f>SUM(D137/C137*100)</f>
    </oc>
    <nc r="E137"/>
  </rcc>
  <rcv guid="{5BFCA170-DEAE-4D2C-98A0-1E68B427AC01}" action="delete"/>
  <rdn rId="0" localSheetId="1" customView="1" name="Z_5BFCA170_DEAE_4D2C_98A0_1E68B427AC01_.wvu.PrintArea" hidden="1" oldHidden="1">
    <formula>Консол!$A$1:$K$50</formula>
    <oldFormula>Консол!$A$1:$K$50</oldFormula>
  </rdn>
  <rdn rId="0" localSheetId="1" customView="1" name="Z_5BFCA170_DEAE_4D2C_98A0_1E68B427AC01_.wvu.Rows" hidden="1" oldHidden="1">
    <formula>Консол!$22:$22,Консол!$43:$45,Консол!$82:$84</formula>
    <oldFormula>Консол!$22:$22,Консол!$43:$45,Консол!$82:$84</oldFormula>
  </rdn>
  <rdn rId="0" localSheetId="2" customView="1" name="Z_5BFCA170_DEAE_4D2C_98A0_1E68B427AC01_.wvu.PrintArea" hidden="1" oldHidden="1">
    <formula>Справка!$A$1:$EY$31</formula>
    <oldFormula>Справка!$A$1:$EY$31</oldFormula>
  </rdn>
  <rdn rId="0" localSheetId="2" customView="1" name="Z_5BFCA170_DEAE_4D2C_98A0_1E68B427AC01_.wvu.Rows" hidden="1" oldHidden="1">
    <formula>Справка!$33:$33</formula>
    <oldFormula>Справка!$33:$33</oldFormula>
  </rdn>
  <rdn rId="0" localSheetId="2" customView="1" name="Z_5BFCA170_DEAE_4D2C_98A0_1E68B427AC01_.wvu.Cols" hidden="1" oldHidden="1">
    <formula>Справка!$AV:$AX,Справка!$BB:$BD,Справка!$BH:$BM,Справка!$BT:$BY,Справка!$CX:$DF</formula>
    <oldFormula>Справка!$AV:$AX,Справка!$BB:$BD,Справка!$BH:$BM,Справка!$BT:$BY,Справка!$CX:$DF</oldFormula>
  </rdn>
  <rdn rId="0" localSheetId="3" customView="1" name="Z_5BFCA170_DEAE_4D2C_98A0_1E68B427AC01_.wvu.Rows" hidden="1" oldHidden="1">
    <formula>район!$17:$18,район!$20:$20,район!$28:$30,район!$50:$51,район!$75:$75,район!$82:$82,район!$99:$99,район!$105:$105,район!$132:$134</formula>
    <oldFormula>район!$17:$18,район!$20:$20,район!$28:$30,район!$50:$51,район!$75:$75,район!$82:$82,район!$99:$99,район!$105:$105,район!$132:$134</oldFormula>
  </rdn>
  <rdn rId="0" localSheetId="4" customView="1" name="Z_5BFCA170_DEAE_4D2C_98A0_1E68B427AC01_.wvu.Rows" hidden="1" oldHidden="1">
    <formula>Але!$19:$24,Але!$44:$44,Але!$46:$46,Але!$53:$53,Але!$55:$56,Але!$63:$64,Але!$73:$74,Але!$78:$82,Але!$86:$88</formula>
    <oldFormula>Але!$19:$24,Але!$44:$44,Але!$46:$46,Але!$53:$53,Але!$55:$56,Але!$63:$64,Але!$73:$74,Але!$78:$82,Але!$86:$88</oldFormula>
  </rdn>
  <rdn rId="0" localSheetId="5" customView="1" name="Z_5BFCA170_DEAE_4D2C_98A0_1E68B427AC01_.wvu.Rows" hidden="1" oldHidden="1">
    <formula>Сун!$19:$24,Сун!$49:$51,Сун!$58:$58,Сун!$60:$61,Сун!$68:$69,Сун!$78:$79,Сун!$81:$81,Сун!$87:$88,Сун!$92:$96</formula>
    <oldFormula>Сун!$19:$24,Сун!$49:$51,Сун!$58:$58,Сун!$60:$61,Сун!$68:$69,Сун!$78:$79,Сун!$81:$81,Сун!$87:$88,Сун!$92:$96</oldFormula>
  </rdn>
  <rdn rId="0" localSheetId="6" customView="1" name="Z_5BFCA170_DEAE_4D2C_98A0_1E68B427AC01_.wvu.PrintArea" hidden="1" oldHidden="1">
    <formula>Иль!$A$1:$F$104</formula>
    <oldFormula>Иль!$A$1:$F$104</oldFormula>
  </rdn>
  <rdn rId="0" localSheetId="6" customView="1" name="Z_5BFCA170_DEAE_4D2C_98A0_1E68B427AC01_.wvu.Rows" hidden="1" oldHidden="1">
    <formula>Иль!$19:$24,Иль!$30:$31,Иль!$33:$33,Иль!$45:$45,Иль!$50:$50,Иль!$60:$61,Иль!$68:$69,Иль!$78:$79,Иль!$81:$81,Иль!$93:$97</formula>
    <oldFormula>Иль!$19:$24,Иль!$30:$31,Иль!$33:$33,Иль!$45:$45,Иль!$50:$50,Иль!$60:$61,Иль!$68:$69,Иль!$78:$79,Иль!$81:$81,Иль!$93:$97</oldFormula>
  </rdn>
  <rdn rId="0" localSheetId="7" customView="1" name="Z_5BFCA170_DEAE_4D2C_98A0_1E68B427AC01_.wvu.Rows" hidden="1" oldHidden="1">
    <formula>Кад!$19:$24,Кад!$44:$44,Кад!$56:$56,Кад!$58:$59,Кад!$66:$67,Кад!$82:$84,Кад!$88:$95</formula>
    <oldFormula>Кад!$19:$24,Кад!$44:$44,Кад!$56:$56,Кад!$58:$59,Кад!$66:$67,Кад!$82:$84,Кад!$88:$95</oldFormula>
  </rdn>
  <rdn rId="0" localSheetId="8" customView="1" name="Z_5BFCA170_DEAE_4D2C_98A0_1E68B427AC01_.wvu.PrintArea" hidden="1" oldHidden="1">
    <formula>Мор!$A$1:$F$100</formula>
    <oldFormula>Мор!$A$1:$F$100</oldFormula>
  </rdn>
  <rdn rId="0" localSheetId="8" customView="1" name="Z_5BFCA170_DEAE_4D2C_98A0_1E68B427AC01_.wvu.Rows" hidden="1" oldHidden="1">
    <formula>Мор!$21:$21,Мор!$23:$23,Мор!$37:$37,Мор!$44:$44,Мор!$47:$47,Мор!$49:$50,Мор!$57:$57,Мор!$59:$60,Мор!$67:$68,Мор!$82:$87,Мор!$90:$96</formula>
    <oldFormula>Мор!$21:$21,Мор!$23:$23,Мор!$37:$37,Мор!$44:$44,Мор!$47:$47,Мор!$49:$50,Мор!$57:$57,Мор!$59:$60,Мор!$67:$68,Мор!$82:$87,Мор!$90:$96</oldFormula>
  </rdn>
  <rdn rId="0" localSheetId="9" customView="1" name="Z_5BFCA170_DEAE_4D2C_98A0_1E68B427AC01_.wvu.Rows" hidden="1" oldHidden="1">
    <formula>Мос!$19:$24,Мос!$44:$44,Мос!$57:$57,Мос!$59:$60,Мос!$67:$68,Мос!$80:$80,Мос!$82:$88,Мос!$93:$98</formula>
    <oldFormula>Мос!$19:$24,Мос!$44:$44,Мос!$57:$57,Мос!$59:$60,Мос!$67:$68,Мос!$80:$80,Мос!$82:$88,Мос!$93:$98</oldFormula>
  </rdn>
  <rdn rId="0" localSheetId="10" customView="1" name="Z_5BFCA170_DEAE_4D2C_98A0_1E68B427AC01_.wvu.Rows" hidden="1" oldHidden="1">
    <formula>Ори!$19:$24,Ори!$32:$32,Ори!$44:$44,Ори!$48:$50,Ори!$57:$57,Ори!$59:$60,Ори!$67:$68,Ори!$77:$78,Ори!$80:$80,Ори!$82:$86,Ори!$90:$97</formula>
    <oldFormula>Ори!$19:$24,Ори!$32:$32,Ори!$44:$44,Ори!$48:$50,Ори!$57:$57,Ори!$59:$60,Ори!$67:$68,Ори!$77:$78,Ори!$80:$80,Ори!$82:$86,Ори!$90:$97</oldFormula>
  </rdn>
  <rdn rId="0" localSheetId="11" customView="1" name="Z_5BFCA170_DEAE_4D2C_98A0_1E68B427AC01_.wvu.Rows" hidden="1" oldHidden="1">
    <formula>Сят!$19:$19,Сят!$45:$47,Сят!$57:$57,Сят!$59:$60,Сят!$67:$68,Сят!$82:$85,Сят!$89:$96</formula>
    <oldFormula>Сят!$19:$19,Сят!$45:$47,Сят!$57:$57,Сят!$59:$60,Сят!$67:$68,Сят!$82:$85,Сят!$89:$96</oldFormula>
  </rdn>
  <rdn rId="0" localSheetId="12" customView="1" name="Z_5BFCA170_DEAE_4D2C_98A0_1E68B427AC01_.wvu.PrintArea" hidden="1" oldHidden="1">
    <formula>Тор!$A$1:$F$101</formula>
    <oldFormula>Тор!$A$1:$F$101</oldFormula>
  </rdn>
  <rdn rId="0" localSheetId="12" customView="1" name="Z_5BFCA170_DEAE_4D2C_98A0_1E68B427AC01_.wvu.Rows" hidden="1" oldHidden="1">
    <formula>Тор!$19:$19,Тор!$50:$50,Тор!$57:$57,Тор!$59:$60,Тор!$67:$68,Тор!$74:$74,Тор!$78:$79,Тор!$82:$93</formula>
    <oldFormula>Тор!$19:$19,Тор!$50:$50,Тор!$57:$57,Тор!$59:$60,Тор!$67:$68,Тор!$74:$74,Тор!$78:$79,Тор!$82:$93</oldFormula>
  </rdn>
  <rdn rId="0" localSheetId="13" customView="1" name="Z_5BFCA170_DEAE_4D2C_98A0_1E68B427AC01_.wvu.Rows" hidden="1" oldHidden="1">
    <formula>Хор!$19:$24,Хор!$32:$32,Хор!$40:$40,Хор!$44:$44,Хор!$55:$55,Хор!$57:$58,Хор!$65:$66,Хор!$80:$84,Хор!$87:$94</formula>
    <oldFormula>Хор!$19:$24,Хор!$32:$32,Хор!$40:$40,Хор!$44:$44,Хор!$55:$55,Хор!$57:$58,Хор!$65:$66,Хор!$80:$84,Хор!$87:$94</oldFormula>
  </rdn>
  <rdn rId="0" localSheetId="14" customView="1" name="Z_5BFCA170_DEAE_4D2C_98A0_1E68B427AC01_.wvu.Rows" hidden="1" oldHidden="1">
    <formula>Чум!$19:$19,Чум!$21:$21,Чум!$23:$24,Чум!$47:$49,Чум!$57:$57,Чум!$59:$60,Чум!$67:$68,Чум!$82:$86,Чум!$89:$96</formula>
    <oldFormula>Чум!$19:$19,Чум!$21:$21,Чум!$23:$24,Чум!$47:$49,Чум!$57:$57,Чум!$59:$60,Чум!$67:$68,Чум!$82:$86,Чум!$89:$96</oldFormula>
  </rdn>
  <rdn rId="0" localSheetId="15" customView="1" name="Z_5BFCA170_DEAE_4D2C_98A0_1E68B427AC01_.wvu.Rows" hidden="1" oldHidden="1">
    <formula>Шать!$19:$24,Шать!$47:$49,Шать!$57:$57,Шать!$59:$60,Шать!$67:$68,Шать!$77:$78,Шать!$82:$86,Шать!$89:$96</formula>
    <oldFormula>Шать!$19:$24,Шать!$47:$49,Шать!$57:$57,Шать!$59:$60,Шать!$67:$68,Шать!$77:$78,Шать!$82:$86,Шать!$89:$96</oldFormula>
  </rdn>
  <rdn rId="0" localSheetId="16" customView="1" name="Z_5BFCA170_DEAE_4D2C_98A0_1E68B427AC01_.wvu.PrintArea" hidden="1" oldHidden="1">
    <formula>Юнг!$A$1:$F$99</formula>
    <oldFormula>Юнг!$A$1:$F$99</oldFormula>
  </rdn>
  <rdn rId="0" localSheetId="16" customView="1" name="Z_5BFCA170_DEAE_4D2C_98A0_1E68B427AC01_.wvu.Rows" hidden="1" oldHidden="1">
    <formula>Юнг!$19:$24,Юнг!$32:$32,Юнг!$49:$49,Юнг!$56:$56,Юнг!$58:$59,Юнг!$66:$67,Юнг!$81:$85,Юнг!$88:$95</formula>
    <oldFormula>Юнг!$19:$24,Юнг!$32:$32,Юнг!$49:$49,Юнг!$56:$56,Юнг!$58:$59,Юнг!$66:$67,Юнг!$81:$85,Юнг!$88:$95</oldFormula>
  </rdn>
  <rdn rId="0" localSheetId="17" customView="1" name="Z_5BFCA170_DEAE_4D2C_98A0_1E68B427AC01_.wvu.Rows" hidden="1" oldHidden="1">
    <formula>Юсь!$20:$24,Юсь!$40:$40,Юсь!$44:$49,Юсь!$58:$58,Юсь!$60:$61,Юсь!$68:$69,Юсь!$78:$79,Юсь!$82:$87,Юсь!$90:$97</formula>
    <oldFormula>Юсь!$20:$24,Юсь!$40:$40,Юсь!$44:$49,Юсь!$58:$58,Юсь!$60:$61,Юсь!$68:$69,Юсь!$78:$79,Юсь!$82:$87,Юсь!$90:$97</oldFormula>
  </rdn>
  <rdn rId="0" localSheetId="18" customView="1" name="Z_5BFCA170_DEAE_4D2C_98A0_1E68B427AC01_.wvu.PrintArea" hidden="1" oldHidden="1">
    <formula>Яра!$A$1:$F$102</formula>
    <oldFormula>Яра!$A$1:$F$102</oldFormula>
  </rdn>
  <rdn rId="0" localSheetId="18" customView="1" name="Z_5BFCA170_DEAE_4D2C_98A0_1E68B427AC01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Яра!$19:$24,Яра!$46:$50,Яра!$58:$58,Яра!$60:$61,Яра!$68:$69,Яра!$79:$79,Яра!$82:$88,Яра!$91:$98</oldFormula>
  </rdn>
  <rdn rId="0" localSheetId="19" customView="1" name="Z_5BFCA170_DEAE_4D2C_98A0_1E68B427AC01_.wvu.Rows" hidden="1" oldHidden="1">
    <formula>Яро!$19:$24,Яро!$29:$30,Яро!$32:$32,Яро!$43:$43,Яро!$54:$54,Яро!$56:$57,Яро!$64:$65,Яро!$74:$75,Яро!$79:$84,Яро!$86:$93</formula>
    <oldFormula>Яро!$19:$24,Яро!$29:$30,Яро!$32:$32,Яро!$43:$43,Яро!$54:$54,Яро!$56:$57,Яро!$64:$65,Яро!$74:$75,Яро!$79:$84,Яро!$86:$93</oldFormula>
  </rdn>
  <rdn rId="0" localSheetId="20" customView="1" name="Z_5BFCA170_DEAE_4D2C_98A0_1E68B427AC01_.wvu.Rows" hidden="1" oldHidden="1">
    <formula>Лист1!$82:$84</formula>
    <oldFormula>Лист1!$82:$84</oldFormula>
  </rdn>
  <rcv guid="{5BFCA170-DEAE-4D2C-98A0-1E68B427AC01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3" Type="http://schemas.openxmlformats.org/officeDocument/2006/relationships/printerSettings" Target="../printerSettings/printerSettings107.bin"/><Relationship Id="rId7" Type="http://schemas.openxmlformats.org/officeDocument/2006/relationships/printerSettings" Target="../printerSettings/printerSettings111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8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0.bin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6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6.bin"/><Relationship Id="rId3" Type="http://schemas.openxmlformats.org/officeDocument/2006/relationships/printerSettings" Target="../printerSettings/printerSettings131.bin"/><Relationship Id="rId7" Type="http://schemas.openxmlformats.org/officeDocument/2006/relationships/printerSettings" Target="../printerSettings/printerSettings135.bin"/><Relationship Id="rId2" Type="http://schemas.openxmlformats.org/officeDocument/2006/relationships/printerSettings" Target="../printerSettings/printerSettings130.bin"/><Relationship Id="rId1" Type="http://schemas.openxmlformats.org/officeDocument/2006/relationships/printerSettings" Target="../printerSettings/printerSettings129.bin"/><Relationship Id="rId6" Type="http://schemas.openxmlformats.org/officeDocument/2006/relationships/printerSettings" Target="../printerSettings/printerSettings134.bin"/><Relationship Id="rId5" Type="http://schemas.openxmlformats.org/officeDocument/2006/relationships/printerSettings" Target="../printerSettings/printerSettings133.bin"/><Relationship Id="rId4" Type="http://schemas.openxmlformats.org/officeDocument/2006/relationships/printerSettings" Target="../printerSettings/printerSettings132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4.bin"/><Relationship Id="rId3" Type="http://schemas.openxmlformats.org/officeDocument/2006/relationships/printerSettings" Target="../printerSettings/printerSettings139.bin"/><Relationship Id="rId7" Type="http://schemas.openxmlformats.org/officeDocument/2006/relationships/printerSettings" Target="../printerSettings/printerSettings143.bin"/><Relationship Id="rId2" Type="http://schemas.openxmlformats.org/officeDocument/2006/relationships/printerSettings" Target="../printerSettings/printerSettings138.bin"/><Relationship Id="rId1" Type="http://schemas.openxmlformats.org/officeDocument/2006/relationships/printerSettings" Target="../printerSettings/printerSettings137.bin"/><Relationship Id="rId6" Type="http://schemas.openxmlformats.org/officeDocument/2006/relationships/printerSettings" Target="../printerSettings/printerSettings142.bin"/><Relationship Id="rId5" Type="http://schemas.openxmlformats.org/officeDocument/2006/relationships/printerSettings" Target="../printerSettings/printerSettings141.bin"/><Relationship Id="rId4" Type="http://schemas.openxmlformats.org/officeDocument/2006/relationships/printerSettings" Target="../printerSettings/printerSettings140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5" Type="http://schemas.openxmlformats.org/officeDocument/2006/relationships/printerSettings" Target="../printerSettings/printerSettings149.bin"/><Relationship Id="rId4" Type="http://schemas.openxmlformats.org/officeDocument/2006/relationships/printerSettings" Target="../printerSettings/printerSettings14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5.bin"/><Relationship Id="rId2" Type="http://schemas.openxmlformats.org/officeDocument/2006/relationships/printerSettings" Target="../printerSettings/printerSettings154.bin"/><Relationship Id="rId1" Type="http://schemas.openxmlformats.org/officeDocument/2006/relationships/printerSettings" Target="../printerSettings/printerSettings153.bin"/><Relationship Id="rId6" Type="http://schemas.openxmlformats.org/officeDocument/2006/relationships/printerSettings" Target="../printerSettings/printerSettings158.bin"/><Relationship Id="rId5" Type="http://schemas.openxmlformats.org/officeDocument/2006/relationships/printerSettings" Target="../printerSettings/printerSettings157.bin"/><Relationship Id="rId4" Type="http://schemas.openxmlformats.org/officeDocument/2006/relationships/printerSettings" Target="../printerSettings/printerSettings15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84"/>
  <sheetViews>
    <sheetView view="pageBreakPreview" zoomScale="80" zoomScaleNormal="100" zoomScaleSheetLayoutView="80" workbookViewId="0">
      <selection activeCell="F30" sqref="F30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477" t="s">
        <v>417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123"/>
      <c r="M1" s="123"/>
      <c r="N1" s="123"/>
      <c r="O1" s="123"/>
    </row>
    <row r="2" spans="1:15" ht="33.75" customHeight="1">
      <c r="A2" s="475" t="s">
        <v>181</v>
      </c>
      <c r="B2" s="476" t="s">
        <v>182</v>
      </c>
      <c r="C2" s="472" t="s">
        <v>183</v>
      </c>
      <c r="D2" s="473"/>
      <c r="E2" s="473"/>
      <c r="F2" s="472" t="s">
        <v>184</v>
      </c>
      <c r="G2" s="473"/>
      <c r="H2" s="473"/>
      <c r="I2" s="472" t="s">
        <v>185</v>
      </c>
      <c r="J2" s="473"/>
      <c r="K2" s="478"/>
    </row>
    <row r="3" spans="1:15" ht="53.25" customHeight="1">
      <c r="A3" s="475"/>
      <c r="B3" s="476"/>
      <c r="C3" s="78" t="s">
        <v>347</v>
      </c>
      <c r="D3" s="78" t="s">
        <v>415</v>
      </c>
      <c r="E3" s="138" t="s">
        <v>332</v>
      </c>
      <c r="F3" s="78" t="s">
        <v>347</v>
      </c>
      <c r="G3" s="78" t="s">
        <v>415</v>
      </c>
      <c r="H3" s="138" t="s">
        <v>332</v>
      </c>
      <c r="I3" s="78" t="s">
        <v>347</v>
      </c>
      <c r="J3" s="78" t="s">
        <v>415</v>
      </c>
      <c r="K3" s="78" t="s">
        <v>332</v>
      </c>
    </row>
    <row r="4" spans="1:15" s="80" customFormat="1" ht="30.75" customHeight="1">
      <c r="A4" s="79" t="s">
        <v>5</v>
      </c>
      <c r="B4" s="76"/>
      <c r="C4" s="303">
        <f>SUM(C5:C13)</f>
        <v>163443.74870000003</v>
      </c>
      <c r="D4" s="303">
        <f>SUM(D5:D13)</f>
        <v>166881.00702000002</v>
      </c>
      <c r="E4" s="303">
        <f>D4/C4*100</f>
        <v>102.10302220019993</v>
      </c>
      <c r="F4" s="303">
        <f>SUM(F5:F13)</f>
        <v>128504</v>
      </c>
      <c r="G4" s="303">
        <f>SUM(G5:G13)</f>
        <v>131192.81122999999</v>
      </c>
      <c r="H4" s="303">
        <f>G4/F4*100</f>
        <v>102.09239496825001</v>
      </c>
      <c r="I4" s="303">
        <f>I5+I7+I6+I8+I10+I11+I12+I13</f>
        <v>34939.748700000004</v>
      </c>
      <c r="J4" s="303">
        <f>J5+J6+J7+J8+J10+J11+J12+J13</f>
        <v>35688.195790000005</v>
      </c>
      <c r="K4" s="303">
        <f>J4/I4*100</f>
        <v>102.14210782231528</v>
      </c>
    </row>
    <row r="5" spans="1:15" ht="27" customHeight="1">
      <c r="A5" s="81" t="s">
        <v>186</v>
      </c>
      <c r="B5" s="77">
        <v>10102</v>
      </c>
      <c r="C5" s="304">
        <f t="shared" ref="C5:D8" si="0">F5+I5</f>
        <v>112721.9</v>
      </c>
      <c r="D5" s="304">
        <f t="shared" si="0"/>
        <v>114465.14342000001</v>
      </c>
      <c r="E5" s="305">
        <f t="shared" ref="E5:E12" si="1">D5/C5*100</f>
        <v>101.54649932266935</v>
      </c>
      <c r="F5" s="304">
        <f>район!C5</f>
        <v>107520</v>
      </c>
      <c r="G5" s="304">
        <f>район!D5</f>
        <v>109147.82305000001</v>
      </c>
      <c r="H5" s="305">
        <f t="shared" ref="H5:H41" si="2">G5/F5*100</f>
        <v>101.51397233072916</v>
      </c>
      <c r="I5" s="304">
        <f>Справка!I31</f>
        <v>5201.9000000000005</v>
      </c>
      <c r="J5" s="304">
        <f>Справка!J31</f>
        <v>5317.3203699999995</v>
      </c>
      <c r="K5" s="305">
        <f t="shared" ref="K5:K12" si="3">J5/I5*100</f>
        <v>102.21881178031103</v>
      </c>
    </row>
    <row r="6" spans="1:15" ht="41.25" customHeight="1">
      <c r="A6" s="81" t="s">
        <v>284</v>
      </c>
      <c r="B6" s="77">
        <v>10300</v>
      </c>
      <c r="C6" s="304">
        <f t="shared" si="0"/>
        <v>12553.1067</v>
      </c>
      <c r="D6" s="304">
        <f t="shared" si="0"/>
        <v>13222.386320000003</v>
      </c>
      <c r="E6" s="305">
        <f t="shared" si="1"/>
        <v>105.3315855269517</v>
      </c>
      <c r="F6" s="304">
        <f>район!C7</f>
        <v>4417.8600000000006</v>
      </c>
      <c r="G6" s="304">
        <f>район!D7</f>
        <v>4648.2821500000009</v>
      </c>
      <c r="H6" s="305">
        <f t="shared" si="2"/>
        <v>105.21569606098882</v>
      </c>
      <c r="I6" s="304">
        <f>Справка!L31+Справка!R31+Справка!O31</f>
        <v>8135.2466999999997</v>
      </c>
      <c r="J6" s="304">
        <f>Справка!M31+Справка!S31+Справка!P31+Справка!V31</f>
        <v>8574.1041700000023</v>
      </c>
      <c r="K6" s="305">
        <f t="shared" si="3"/>
        <v>105.3945195048603</v>
      </c>
    </row>
    <row r="7" spans="1:15" ht="19.5" customHeight="1">
      <c r="A7" s="81" t="s">
        <v>187</v>
      </c>
      <c r="B7" s="77">
        <v>10500</v>
      </c>
      <c r="C7" s="304">
        <f t="shared" si="0"/>
        <v>12092</v>
      </c>
      <c r="D7" s="304">
        <f t="shared" si="0"/>
        <v>11987.67304</v>
      </c>
      <c r="E7" s="305">
        <f t="shared" si="1"/>
        <v>99.137223288124375</v>
      </c>
      <c r="F7" s="304">
        <f>район!C12</f>
        <v>11622</v>
      </c>
      <c r="G7" s="304">
        <f>район!D12</f>
        <v>11562.1206</v>
      </c>
      <c r="H7" s="305">
        <f t="shared" si="2"/>
        <v>99.484775425916368</v>
      </c>
      <c r="I7" s="304">
        <f>Справка!X31</f>
        <v>470</v>
      </c>
      <c r="J7" s="304">
        <f>Справка!Y31</f>
        <v>425.55243999999993</v>
      </c>
      <c r="K7" s="305">
        <f t="shared" si="3"/>
        <v>90.54307234042551</v>
      </c>
    </row>
    <row r="8" spans="1:15" ht="19.5" customHeight="1">
      <c r="A8" s="81" t="s">
        <v>188</v>
      </c>
      <c r="B8" s="77">
        <v>10601</v>
      </c>
      <c r="C8" s="304">
        <f t="shared" si="0"/>
        <v>3021.4</v>
      </c>
      <c r="D8" s="304">
        <f t="shared" si="0"/>
        <v>3950.0036800000003</v>
      </c>
      <c r="E8" s="305">
        <f t="shared" si="1"/>
        <v>130.73421857417091</v>
      </c>
      <c r="F8" s="304"/>
      <c r="G8" s="304"/>
      <c r="H8" s="305"/>
      <c r="I8" s="304">
        <f>Справка!AA31</f>
        <v>3021.4</v>
      </c>
      <c r="J8" s="304">
        <f>Справка!AB31</f>
        <v>3950.0036800000003</v>
      </c>
      <c r="K8" s="305">
        <f t="shared" si="3"/>
        <v>130.73421857417091</v>
      </c>
    </row>
    <row r="9" spans="1:15" ht="19.5" customHeight="1">
      <c r="A9" s="81" t="s">
        <v>285</v>
      </c>
      <c r="B9" s="77">
        <v>10604</v>
      </c>
      <c r="C9" s="304">
        <f>F9</f>
        <v>1815</v>
      </c>
      <c r="D9" s="304">
        <f>G9</f>
        <v>2071.8990600000002</v>
      </c>
      <c r="E9" s="305">
        <f t="shared" si="1"/>
        <v>114.15421818181819</v>
      </c>
      <c r="F9" s="304">
        <f>район!C16</f>
        <v>1815</v>
      </c>
      <c r="G9" s="304">
        <f>район!D19</f>
        <v>2071.8990600000002</v>
      </c>
      <c r="H9" s="305">
        <f t="shared" si="2"/>
        <v>114.15421818181819</v>
      </c>
      <c r="I9" s="304"/>
      <c r="J9" s="304"/>
      <c r="K9" s="305"/>
    </row>
    <row r="10" spans="1:15" ht="19.5" customHeight="1">
      <c r="A10" s="81" t="s">
        <v>189</v>
      </c>
      <c r="B10" s="77">
        <v>10606</v>
      </c>
      <c r="C10" s="304">
        <f t="shared" ref="C10:D13" si="4">F10+I10</f>
        <v>17949.2</v>
      </c>
      <c r="D10" s="304">
        <f t="shared" si="4"/>
        <v>17271.836919999998</v>
      </c>
      <c r="E10" s="305">
        <f t="shared" si="1"/>
        <v>96.226221335769822</v>
      </c>
      <c r="F10" s="304"/>
      <c r="G10" s="304"/>
      <c r="H10" s="305">
        <v>0</v>
      </c>
      <c r="I10" s="304">
        <f>Справка!AD31</f>
        <v>17949.2</v>
      </c>
      <c r="J10" s="304">
        <f>Справка!AE31</f>
        <v>17271.836919999998</v>
      </c>
      <c r="K10" s="305">
        <f t="shared" si="3"/>
        <v>96.226221335769822</v>
      </c>
    </row>
    <row r="11" spans="1:15" ht="33.75" customHeight="1">
      <c r="A11" s="81" t="s">
        <v>190</v>
      </c>
      <c r="B11" s="77">
        <v>10701</v>
      </c>
      <c r="C11" s="304">
        <f t="shared" si="4"/>
        <v>379.14</v>
      </c>
      <c r="D11" s="304">
        <f t="shared" si="4"/>
        <v>823.22303999999997</v>
      </c>
      <c r="E11" s="305">
        <f t="shared" si="1"/>
        <v>217.12903940496915</v>
      </c>
      <c r="F11" s="304">
        <f>район!C21</f>
        <v>379.14</v>
      </c>
      <c r="G11" s="304">
        <f>район!D21</f>
        <v>823.22303999999997</v>
      </c>
      <c r="H11" s="305">
        <f t="shared" si="2"/>
        <v>217.12903940496915</v>
      </c>
      <c r="I11" s="304"/>
      <c r="J11" s="304"/>
      <c r="K11" s="305">
        <v>0</v>
      </c>
    </row>
    <row r="12" spans="1:15" ht="19.5" customHeight="1">
      <c r="A12" s="81" t="s">
        <v>191</v>
      </c>
      <c r="B12" s="77">
        <v>10800</v>
      </c>
      <c r="C12" s="304">
        <f t="shared" si="4"/>
        <v>2912.002</v>
      </c>
      <c r="D12" s="304">
        <f t="shared" si="4"/>
        <v>3088.8415399999999</v>
      </c>
      <c r="E12" s="305">
        <f t="shared" si="1"/>
        <v>106.07278223023198</v>
      </c>
      <c r="F12" s="304">
        <f>район!C23</f>
        <v>2750</v>
      </c>
      <c r="G12" s="304">
        <f>район!D23</f>
        <v>2939.46333</v>
      </c>
      <c r="H12" s="305">
        <f t="shared" si="2"/>
        <v>106.88957563636363</v>
      </c>
      <c r="I12" s="304">
        <f>Справка!AG31</f>
        <v>162.00200000000001</v>
      </c>
      <c r="J12" s="304">
        <f>Справка!AH31</f>
        <v>149.37821</v>
      </c>
      <c r="K12" s="305">
        <f t="shared" si="3"/>
        <v>92.207633239095813</v>
      </c>
    </row>
    <row r="13" spans="1:15" ht="19.5" customHeight="1">
      <c r="A13" s="81" t="s">
        <v>192</v>
      </c>
      <c r="B13" s="77">
        <v>10900</v>
      </c>
      <c r="C13" s="304">
        <f t="shared" si="4"/>
        <v>0</v>
      </c>
      <c r="D13" s="304">
        <f t="shared" si="4"/>
        <v>0</v>
      </c>
      <c r="E13" s="305"/>
      <c r="F13" s="304">
        <f>район!C27</f>
        <v>0</v>
      </c>
      <c r="G13" s="304">
        <f>район!D27</f>
        <v>0</v>
      </c>
      <c r="H13" s="305"/>
      <c r="I13" s="304">
        <f>Справка!AJ31</f>
        <v>0</v>
      </c>
      <c r="J13" s="304">
        <f>Справка!AK31</f>
        <v>0</v>
      </c>
      <c r="K13" s="305"/>
    </row>
    <row r="14" spans="1:15" s="80" customFormat="1" ht="27" customHeight="1">
      <c r="A14" s="79" t="s">
        <v>13</v>
      </c>
      <c r="B14" s="76"/>
      <c r="C14" s="303">
        <f>SUM(C15:C21)</f>
        <v>27471.530899999998</v>
      </c>
      <c r="D14" s="303">
        <f>SUM(D15:D21)</f>
        <v>29326.444179999995</v>
      </c>
      <c r="E14" s="303">
        <f t="shared" ref="E14:E39" si="5">D14/C14*100</f>
        <v>106.75212927430992</v>
      </c>
      <c r="F14" s="303">
        <f>F15+F16+F17+F18+F20+F21+F19</f>
        <v>24185.276999999998</v>
      </c>
      <c r="G14" s="303">
        <f>G15+G16+G17+G18+G20+G21+G19</f>
        <v>25800.806489999999</v>
      </c>
      <c r="H14" s="303">
        <f t="shared" si="2"/>
        <v>106.67980561066139</v>
      </c>
      <c r="I14" s="306">
        <f>I15+I16+I17+I18+I20+I21+I26</f>
        <v>3286.2539000000002</v>
      </c>
      <c r="J14" s="306">
        <f>J15+J16+J17+J18+J20+J21+J26</f>
        <v>3525.63769</v>
      </c>
      <c r="K14" s="303">
        <f>J14/I14*100</f>
        <v>107.28439728896176</v>
      </c>
    </row>
    <row r="15" spans="1:15" ht="52.5" customHeight="1">
      <c r="A15" s="81" t="s">
        <v>193</v>
      </c>
      <c r="B15" s="77">
        <v>11100</v>
      </c>
      <c r="C15" s="304">
        <f t="shared" ref="C15:D22" si="6">F15+I15</f>
        <v>12232.599999999999</v>
      </c>
      <c r="D15" s="304">
        <f t="shared" si="6"/>
        <v>12493.873739999999</v>
      </c>
      <c r="E15" s="304">
        <f t="shared" si="5"/>
        <v>102.13588067949577</v>
      </c>
      <c r="F15" s="304">
        <f>район!C33</f>
        <v>10301.299999999999</v>
      </c>
      <c r="G15" s="304">
        <f>район!D33</f>
        <v>10579.492999999999</v>
      </c>
      <c r="H15" s="304">
        <f t="shared" si="2"/>
        <v>102.70056206498208</v>
      </c>
      <c r="I15" s="304">
        <f>Справка!AP31+Справка!AS31+Справка!AM31</f>
        <v>1931.3</v>
      </c>
      <c r="J15" s="304">
        <f>Справка!AQ31+Справка!AT31+Справка!AN31</f>
        <v>1914.3807400000001</v>
      </c>
      <c r="K15" s="305">
        <f>J15/I15*100</f>
        <v>99.123944493346457</v>
      </c>
    </row>
    <row r="16" spans="1:15" ht="33" customHeight="1">
      <c r="A16" s="81" t="s">
        <v>194</v>
      </c>
      <c r="B16" s="77">
        <v>11200</v>
      </c>
      <c r="C16" s="304">
        <f t="shared" si="6"/>
        <v>670</v>
      </c>
      <c r="D16" s="304">
        <f t="shared" si="6"/>
        <v>711.78731000000005</v>
      </c>
      <c r="E16" s="304">
        <f t="shared" si="5"/>
        <v>106.23691194029851</v>
      </c>
      <c r="F16" s="304">
        <f>район!C42</f>
        <v>670</v>
      </c>
      <c r="G16" s="304">
        <f>район!D42</f>
        <v>711.78731000000005</v>
      </c>
      <c r="H16" s="304">
        <f t="shared" si="2"/>
        <v>106.23691194029851</v>
      </c>
      <c r="I16" s="304">
        <v>0</v>
      </c>
      <c r="J16" s="304">
        <v>0</v>
      </c>
      <c r="K16" s="305">
        <v>0</v>
      </c>
    </row>
    <row r="17" spans="1:13" ht="33" customHeight="1">
      <c r="A17" s="81" t="s">
        <v>195</v>
      </c>
      <c r="B17" s="77">
        <v>11300</v>
      </c>
      <c r="C17" s="304">
        <f t="shared" si="6"/>
        <v>1534</v>
      </c>
      <c r="D17" s="304">
        <f t="shared" si="6"/>
        <v>2172.7657199999999</v>
      </c>
      <c r="E17" s="304">
        <f>D17/C17*100</f>
        <v>141.6405293350717</v>
      </c>
      <c r="F17" s="304">
        <f>район!C44</f>
        <v>769</v>
      </c>
      <c r="G17" s="304">
        <f>район!D44</f>
        <v>1116.63015</v>
      </c>
      <c r="H17" s="304">
        <f t="shared" si="2"/>
        <v>145.20548114434331</v>
      </c>
      <c r="I17" s="304">
        <f>Справка!AY31</f>
        <v>765</v>
      </c>
      <c r="J17" s="304">
        <f>Справка!AZ31</f>
        <v>1056.1355699999999</v>
      </c>
      <c r="K17" s="305">
        <f>J17/I17*100</f>
        <v>138.05693725490195</v>
      </c>
    </row>
    <row r="18" spans="1:13" ht="33" customHeight="1">
      <c r="A18" s="81" t="s">
        <v>196</v>
      </c>
      <c r="B18" s="77">
        <v>11400</v>
      </c>
      <c r="C18" s="304">
        <f t="shared" si="6"/>
        <v>2714.9769999999999</v>
      </c>
      <c r="D18" s="304">
        <f t="shared" si="6"/>
        <v>3021.4280200000003</v>
      </c>
      <c r="E18" s="304">
        <f t="shared" si="5"/>
        <v>111.28742600766049</v>
      </c>
      <c r="F18" s="304">
        <f>район!C47</f>
        <v>2128.9769999999999</v>
      </c>
      <c r="G18" s="304">
        <f>район!D47</f>
        <v>2411.4120200000002</v>
      </c>
      <c r="H18" s="304">
        <f t="shared" si="2"/>
        <v>113.26623162204197</v>
      </c>
      <c r="I18" s="304">
        <f>Справка!BE31</f>
        <v>586</v>
      </c>
      <c r="J18" s="304">
        <f>Справка!BF31</f>
        <v>610.01600000000008</v>
      </c>
      <c r="K18" s="305">
        <f>J18/I18*100</f>
        <v>104.09829351535838</v>
      </c>
    </row>
    <row r="19" spans="1:13" ht="23.25" customHeight="1">
      <c r="A19" s="81" t="s">
        <v>251</v>
      </c>
      <c r="B19" s="77">
        <v>11500</v>
      </c>
      <c r="C19" s="304">
        <f t="shared" si="6"/>
        <v>0</v>
      </c>
      <c r="D19" s="304">
        <f t="shared" si="6"/>
        <v>0</v>
      </c>
      <c r="E19" s="304"/>
      <c r="F19" s="304">
        <f>район!C50</f>
        <v>0</v>
      </c>
      <c r="G19" s="304">
        <f>район!D50</f>
        <v>0</v>
      </c>
      <c r="H19" s="304"/>
      <c r="I19" s="304"/>
      <c r="J19" s="304"/>
      <c r="K19" s="305"/>
    </row>
    <row r="20" spans="1:13" ht="22.5" customHeight="1">
      <c r="A20" s="81" t="s">
        <v>197</v>
      </c>
      <c r="B20" s="77">
        <v>11600</v>
      </c>
      <c r="C20" s="304">
        <f t="shared" si="6"/>
        <v>10319.9539</v>
      </c>
      <c r="D20" s="304">
        <f t="shared" si="6"/>
        <v>11029.877399999999</v>
      </c>
      <c r="E20" s="304">
        <f t="shared" si="5"/>
        <v>106.87913441163724</v>
      </c>
      <c r="F20" s="304">
        <f>район!C52</f>
        <v>10316</v>
      </c>
      <c r="G20" s="304">
        <f>район!D52</f>
        <v>10981.48401</v>
      </c>
      <c r="H20" s="304">
        <f t="shared" si="2"/>
        <v>106.45098885226831</v>
      </c>
      <c r="I20" s="304">
        <f>Справка!BN31</f>
        <v>3.9539</v>
      </c>
      <c r="J20" s="304">
        <f>Справка!BO31</f>
        <v>48.393390000000004</v>
      </c>
      <c r="K20" s="305">
        <v>0</v>
      </c>
    </row>
    <row r="21" spans="1:13" ht="31.5" customHeight="1">
      <c r="A21" s="81" t="s">
        <v>198</v>
      </c>
      <c r="B21" s="77">
        <v>11700</v>
      </c>
      <c r="C21" s="304">
        <f t="shared" si="6"/>
        <v>0</v>
      </c>
      <c r="D21" s="304">
        <f t="shared" si="6"/>
        <v>-103.28801</v>
      </c>
      <c r="E21" s="304"/>
      <c r="F21" s="304">
        <f>район!C69</f>
        <v>0</v>
      </c>
      <c r="G21" s="304">
        <f>район!D69</f>
        <v>0</v>
      </c>
      <c r="H21" s="304"/>
      <c r="I21" s="304">
        <f>Справка!BQ31</f>
        <v>0</v>
      </c>
      <c r="J21" s="304">
        <f>Справка!BR31</f>
        <v>-103.28801</v>
      </c>
      <c r="K21" s="305">
        <v>0</v>
      </c>
    </row>
    <row r="22" spans="1:13" ht="45.75" hidden="1" customHeight="1">
      <c r="A22" s="79" t="s">
        <v>199</v>
      </c>
      <c r="B22" s="76">
        <v>30000</v>
      </c>
      <c r="C22" s="303">
        <f t="shared" si="6"/>
        <v>0</v>
      </c>
      <c r="D22" s="303">
        <f t="shared" si="6"/>
        <v>0</v>
      </c>
      <c r="E22" s="303"/>
      <c r="F22" s="303">
        <v>0</v>
      </c>
      <c r="G22" s="303">
        <v>0</v>
      </c>
      <c r="H22" s="303"/>
      <c r="I22" s="303">
        <v>0</v>
      </c>
      <c r="J22" s="303">
        <v>0</v>
      </c>
      <c r="K22" s="303"/>
    </row>
    <row r="23" spans="1:13" ht="36.75" customHeight="1">
      <c r="A23" s="79" t="s">
        <v>19</v>
      </c>
      <c r="B23" s="76">
        <v>10000</v>
      </c>
      <c r="C23" s="306">
        <f>SUM(C4,C14,C22,)</f>
        <v>190915.27960000001</v>
      </c>
      <c r="D23" s="306">
        <f>SUM(D4,D14,)</f>
        <v>196207.45120000001</v>
      </c>
      <c r="E23" s="303">
        <f t="shared" si="5"/>
        <v>102.77200002592144</v>
      </c>
      <c r="F23" s="306">
        <f>SUM(F4,F14,)</f>
        <v>152689.277</v>
      </c>
      <c r="G23" s="307">
        <f>SUM(G4,G14,G22)</f>
        <v>156993.61771999998</v>
      </c>
      <c r="H23" s="303">
        <f t="shared" si="2"/>
        <v>102.81901964864237</v>
      </c>
      <c r="I23" s="306">
        <f>I4+I14</f>
        <v>38226.002600000007</v>
      </c>
      <c r="J23" s="306">
        <f>J4+J14</f>
        <v>39213.833480000008</v>
      </c>
      <c r="K23" s="303">
        <f>J23/I23*100</f>
        <v>102.58418566632966</v>
      </c>
    </row>
    <row r="24" spans="1:13" ht="33" customHeight="1">
      <c r="A24" s="79" t="s">
        <v>200</v>
      </c>
      <c r="B24" s="76">
        <v>20200</v>
      </c>
      <c r="C24" s="308">
        <v>609146.67362999998</v>
      </c>
      <c r="D24" s="308">
        <v>604926.50921000005</v>
      </c>
      <c r="E24" s="306">
        <f t="shared" si="5"/>
        <v>99.307200613137837</v>
      </c>
      <c r="F24" s="306">
        <f>район!C73</f>
        <v>629485.10363000014</v>
      </c>
      <c r="G24" s="306">
        <f>район!D73</f>
        <v>625225.63680000009</v>
      </c>
      <c r="H24" s="303">
        <f t="shared" si="2"/>
        <v>99.323341123493265</v>
      </c>
      <c r="I24" s="306">
        <f>Справка!BZ31</f>
        <v>69370.868870000006</v>
      </c>
      <c r="J24" s="306">
        <f>Справка!CA31</f>
        <v>70008.469289999994</v>
      </c>
      <c r="K24" s="303">
        <f t="shared" ref="K24:K38" si="7">J24/I24*100</f>
        <v>100.91911839996533</v>
      </c>
    </row>
    <row r="25" spans="1:13" ht="33" customHeight="1">
      <c r="A25" s="79" t="s">
        <v>303</v>
      </c>
      <c r="B25" s="76">
        <v>20700</v>
      </c>
      <c r="C25" s="309">
        <f>F25+I25</f>
        <v>3214.2710000000002</v>
      </c>
      <c r="D25" s="309">
        <f>G25+J25</f>
        <v>4801.5048299999989</v>
      </c>
      <c r="E25" s="306">
        <f t="shared" si="5"/>
        <v>149.3808340989294</v>
      </c>
      <c r="F25" s="306"/>
      <c r="G25" s="306"/>
      <c r="H25" s="303"/>
      <c r="I25" s="306">
        <f>Справка!CR31</f>
        <v>3214.2710000000002</v>
      </c>
      <c r="J25" s="306">
        <f>Справка!CS31</f>
        <v>4801.5048299999989</v>
      </c>
      <c r="K25" s="303">
        <f t="shared" si="7"/>
        <v>149.3808340989294</v>
      </c>
    </row>
    <row r="26" spans="1:13" ht="33" customHeight="1">
      <c r="A26" s="79" t="s">
        <v>263</v>
      </c>
      <c r="B26" s="77">
        <v>21900</v>
      </c>
      <c r="C26" s="309">
        <f>F26+I26</f>
        <v>-4.22</v>
      </c>
      <c r="D26" s="309">
        <f>G26+J26</f>
        <v>-532.09220000000005</v>
      </c>
      <c r="E26" s="306"/>
      <c r="F26" s="305">
        <f>район!C81</f>
        <v>-4.22</v>
      </c>
      <c r="G26" s="305">
        <f>район!D81</f>
        <v>-532.09220000000005</v>
      </c>
      <c r="H26" s="303"/>
      <c r="I26" s="305">
        <v>0</v>
      </c>
      <c r="J26" s="305">
        <v>0</v>
      </c>
      <c r="K26" s="305">
        <v>0</v>
      </c>
      <c r="L26" s="83"/>
    </row>
    <row r="27" spans="1:13" ht="29.25" customHeight="1">
      <c r="A27" s="76" t="s">
        <v>201</v>
      </c>
      <c r="B27" s="76"/>
      <c r="C27" s="311">
        <f>C24+C23+C26+C25</f>
        <v>803272.00422999996</v>
      </c>
      <c r="D27" s="311">
        <f>D24+D23+D26+D25</f>
        <v>805403.37304000009</v>
      </c>
      <c r="E27" s="311">
        <f t="shared" si="5"/>
        <v>100.26533587611375</v>
      </c>
      <c r="F27" s="311">
        <f>F24+F23</f>
        <v>782174.38063000015</v>
      </c>
      <c r="G27" s="311">
        <f>G24+G23</f>
        <v>782219.25452000007</v>
      </c>
      <c r="H27" s="311">
        <f t="shared" si="2"/>
        <v>100.00573706977769</v>
      </c>
      <c r="I27" s="311">
        <f>I24+I23</f>
        <v>107596.87147000001</v>
      </c>
      <c r="J27" s="311">
        <f>J24+J23</f>
        <v>109222.30277000001</v>
      </c>
      <c r="K27" s="310">
        <f t="shared" si="7"/>
        <v>101.51066780826727</v>
      </c>
      <c r="L27" s="95"/>
      <c r="M27" s="83"/>
    </row>
    <row r="28" spans="1:13" ht="29.25" customHeight="1">
      <c r="A28" s="76" t="s">
        <v>202</v>
      </c>
      <c r="B28" s="76"/>
      <c r="C28" s="311">
        <f>C29+C30+C31+C32+C33+C34+C35+C36+C37+C41+C38+C39+C40</f>
        <v>818464.75070000009</v>
      </c>
      <c r="D28" s="311">
        <f>SUM(D29:D41)</f>
        <v>776540.08528999996</v>
      </c>
      <c r="E28" s="311">
        <f t="shared" si="5"/>
        <v>94.877645570668307</v>
      </c>
      <c r="F28" s="311">
        <f>SUM(F29+F30+F31+F32+F33+F34+F35+F36+F37+F38+F39+F40+F41)</f>
        <v>792105.01062999992</v>
      </c>
      <c r="G28" s="311">
        <f>SUM(G29:G41)</f>
        <v>754300.04045999993</v>
      </c>
      <c r="H28" s="311">
        <f t="shared" si="2"/>
        <v>95.227277991849618</v>
      </c>
      <c r="I28" s="311">
        <f>I29+I30+I31+I32+I33+I34+I35+I36+I37+I38+I39+I40+I41</f>
        <v>112858.98794000002</v>
      </c>
      <c r="J28" s="311">
        <f>J29+J30+J31+J32+J33+J34+J35+J36+J37+J38+J39+J40+J41</f>
        <v>108278.22907999998</v>
      </c>
      <c r="K28" s="310">
        <f t="shared" si="7"/>
        <v>95.941166101511257</v>
      </c>
      <c r="L28" s="95"/>
    </row>
    <row r="29" spans="1:13" ht="30.75" customHeight="1">
      <c r="A29" s="81" t="s">
        <v>203</v>
      </c>
      <c r="B29" s="82" t="s">
        <v>30</v>
      </c>
      <c r="C29" s="312">
        <v>66317.597269999998</v>
      </c>
      <c r="D29" s="312">
        <v>63944.734270000001</v>
      </c>
      <c r="E29" s="313">
        <f t="shared" si="5"/>
        <v>96.421970792549487</v>
      </c>
      <c r="F29" s="304">
        <f>район!C88</f>
        <v>43283.367049999993</v>
      </c>
      <c r="G29" s="313">
        <f>район!D88</f>
        <v>41586.520510000002</v>
      </c>
      <c r="H29" s="314">
        <f t="shared" si="2"/>
        <v>96.079679896344871</v>
      </c>
      <c r="I29" s="314">
        <f>Справка!DJ31</f>
        <v>23034.230220000001</v>
      </c>
      <c r="J29" s="314">
        <f>Справка!DK31</f>
        <v>22358.213759999999</v>
      </c>
      <c r="K29" s="314">
        <f t="shared" si="7"/>
        <v>97.065165826930752</v>
      </c>
    </row>
    <row r="30" spans="1:13" ht="30.75" customHeight="1">
      <c r="A30" s="81" t="s">
        <v>204</v>
      </c>
      <c r="B30" s="82" t="s">
        <v>46</v>
      </c>
      <c r="C30" s="309">
        <f>I30</f>
        <v>2049</v>
      </c>
      <c r="D30" s="309">
        <f>J30</f>
        <v>2049</v>
      </c>
      <c r="E30" s="313">
        <f t="shared" si="5"/>
        <v>100</v>
      </c>
      <c r="F30" s="304">
        <f>район!C96</f>
        <v>2049</v>
      </c>
      <c r="G30" s="313">
        <f>район!D96</f>
        <v>2049</v>
      </c>
      <c r="H30" s="314">
        <f t="shared" si="2"/>
        <v>100</v>
      </c>
      <c r="I30" s="314">
        <f>Справка!DY31</f>
        <v>2049</v>
      </c>
      <c r="J30" s="314">
        <f>Справка!DZ31</f>
        <v>2049</v>
      </c>
      <c r="K30" s="314">
        <f t="shared" si="7"/>
        <v>100</v>
      </c>
    </row>
    <row r="31" spans="1:13" ht="33" customHeight="1">
      <c r="A31" s="81" t="s">
        <v>205</v>
      </c>
      <c r="B31" s="82" t="s">
        <v>50</v>
      </c>
      <c r="C31" s="312">
        <v>5087.4474399999999</v>
      </c>
      <c r="D31" s="312">
        <v>5055.1309300000003</v>
      </c>
      <c r="E31" s="313">
        <f t="shared" si="5"/>
        <v>99.364779481633335</v>
      </c>
      <c r="F31" s="304">
        <f>район!C98</f>
        <v>4759.7303700000002</v>
      </c>
      <c r="G31" s="313">
        <f>район!D98</f>
        <v>4759.7302300000001</v>
      </c>
      <c r="H31" s="314">
        <f t="shared" si="2"/>
        <v>99.999997058656916</v>
      </c>
      <c r="I31" s="314">
        <f>Справка!EB31</f>
        <v>377.04791000000006</v>
      </c>
      <c r="J31" s="314">
        <f>Справка!EC31</f>
        <v>344.73154</v>
      </c>
      <c r="K31" s="314">
        <f t="shared" si="7"/>
        <v>91.429107775720055</v>
      </c>
    </row>
    <row r="32" spans="1:13" ht="30" customHeight="1">
      <c r="A32" s="81" t="s">
        <v>206</v>
      </c>
      <c r="B32" s="82" t="s">
        <v>58</v>
      </c>
      <c r="C32" s="312">
        <v>183813.74208</v>
      </c>
      <c r="D32" s="312">
        <v>178863.27170000001</v>
      </c>
      <c r="E32" s="313">
        <f t="shared" si="5"/>
        <v>97.306800719042315</v>
      </c>
      <c r="F32" s="304">
        <f>район!C104</f>
        <v>163757.32999999999</v>
      </c>
      <c r="G32" s="313">
        <f>район!D104</f>
        <v>160753.29439</v>
      </c>
      <c r="H32" s="314">
        <f t="shared" si="2"/>
        <v>98.165556552491424</v>
      </c>
      <c r="I32" s="314">
        <f>Справка!EE31</f>
        <v>35524.43995</v>
      </c>
      <c r="J32" s="314">
        <f>Справка!EF31</f>
        <v>33119.829539999999</v>
      </c>
      <c r="K32" s="314">
        <f t="shared" si="7"/>
        <v>93.231109587133687</v>
      </c>
    </row>
    <row r="33" spans="1:12" ht="30" customHeight="1">
      <c r="A33" s="81" t="s">
        <v>207</v>
      </c>
      <c r="B33" s="82" t="s">
        <v>68</v>
      </c>
      <c r="C33" s="312">
        <v>20077.868409999999</v>
      </c>
      <c r="D33" s="312">
        <v>19177.637859999999</v>
      </c>
      <c r="E33" s="313">
        <f t="shared" si="5"/>
        <v>95.516304163286421</v>
      </c>
      <c r="F33" s="304">
        <f>район!C109</f>
        <v>6476.2497100000001</v>
      </c>
      <c r="G33" s="313">
        <f>район!D109</f>
        <v>6473.4851399999998</v>
      </c>
      <c r="H33" s="314">
        <f t="shared" si="2"/>
        <v>99.957312177204486</v>
      </c>
      <c r="I33" s="314">
        <f>Справка!EH31</f>
        <v>19030.135760000005</v>
      </c>
      <c r="J33" s="314">
        <f>Справка!EI31</f>
        <v>18116.910819999997</v>
      </c>
      <c r="K33" s="314">
        <f t="shared" si="7"/>
        <v>95.201164345240556</v>
      </c>
    </row>
    <row r="34" spans="1:12" ht="30" customHeight="1">
      <c r="A34" s="81" t="s">
        <v>208</v>
      </c>
      <c r="B34" s="82" t="s">
        <v>76</v>
      </c>
      <c r="C34" s="309">
        <f>F34</f>
        <v>51</v>
      </c>
      <c r="D34" s="309">
        <f>G34</f>
        <v>51</v>
      </c>
      <c r="E34" s="313">
        <f t="shared" si="5"/>
        <v>100</v>
      </c>
      <c r="F34" s="304">
        <f>район!C113</f>
        <v>51</v>
      </c>
      <c r="G34" s="313">
        <f>район!D113</f>
        <v>51</v>
      </c>
      <c r="H34" s="314">
        <f t="shared" si="2"/>
        <v>100</v>
      </c>
      <c r="I34" s="313"/>
      <c r="J34" s="313"/>
      <c r="K34" s="314">
        <v>0</v>
      </c>
    </row>
    <row r="35" spans="1:12" ht="30" customHeight="1">
      <c r="A35" s="81" t="s">
        <v>209</v>
      </c>
      <c r="B35" s="82" t="s">
        <v>80</v>
      </c>
      <c r="C35" s="309">
        <f>F35</f>
        <v>448916.24761000002</v>
      </c>
      <c r="D35" s="309">
        <f>G35</f>
        <v>419383.51455000002</v>
      </c>
      <c r="E35" s="313">
        <f t="shared" si="5"/>
        <v>93.421326758113494</v>
      </c>
      <c r="F35" s="304">
        <f>район!C115</f>
        <v>448916.24761000002</v>
      </c>
      <c r="G35" s="313">
        <f>район!D115</f>
        <v>419383.51455000002</v>
      </c>
      <c r="H35" s="314">
        <f t="shared" si="2"/>
        <v>93.421326758113494</v>
      </c>
      <c r="I35" s="313"/>
      <c r="J35" s="313"/>
      <c r="K35" s="314">
        <v>0</v>
      </c>
    </row>
    <row r="36" spans="1:12" ht="30" customHeight="1">
      <c r="A36" s="81" t="s">
        <v>210</v>
      </c>
      <c r="B36" s="82" t="s">
        <v>86</v>
      </c>
      <c r="C36" s="312">
        <v>56318.829180000001</v>
      </c>
      <c r="D36" s="312">
        <v>55701.065399999999</v>
      </c>
      <c r="E36" s="313">
        <f t="shared" si="5"/>
        <v>98.903095485125277</v>
      </c>
      <c r="F36" s="304">
        <f>район!C121</f>
        <v>49561.653169999998</v>
      </c>
      <c r="G36" s="313">
        <f>район!D121</f>
        <v>49498.015009999996</v>
      </c>
      <c r="H36" s="314">
        <f t="shared" si="2"/>
        <v>99.871597987698834</v>
      </c>
      <c r="I36" s="314">
        <f>Справка!EK31</f>
        <v>32642.129099999998</v>
      </c>
      <c r="J36" s="314">
        <f>Справка!EL31</f>
        <v>32101.003420000001</v>
      </c>
      <c r="K36" s="314">
        <f t="shared" si="7"/>
        <v>98.342247595607972</v>
      </c>
      <c r="L36" s="83"/>
    </row>
    <row r="37" spans="1:12" ht="30" customHeight="1">
      <c r="A37" s="81" t="s">
        <v>211</v>
      </c>
      <c r="B37" s="82" t="s">
        <v>212</v>
      </c>
      <c r="C37" s="312">
        <f>F37+I37</f>
        <v>29699.450900000003</v>
      </c>
      <c r="D37" s="312">
        <f>G37+J37</f>
        <v>26194.627769999999</v>
      </c>
      <c r="E37" s="313">
        <f t="shared" si="5"/>
        <v>88.1990305416724</v>
      </c>
      <c r="F37" s="304">
        <f>район!C124</f>
        <v>29685.450900000003</v>
      </c>
      <c r="G37" s="313">
        <f>район!D124</f>
        <v>26180.627769999999</v>
      </c>
      <c r="H37" s="314">
        <f t="shared" si="2"/>
        <v>88.193465068775481</v>
      </c>
      <c r="I37" s="314">
        <f>Справка!EN31</f>
        <v>14</v>
      </c>
      <c r="J37" s="314">
        <f>Справка!EO31</f>
        <v>14</v>
      </c>
      <c r="K37" s="314"/>
    </row>
    <row r="38" spans="1:12" ht="30" customHeight="1">
      <c r="A38" s="81" t="s">
        <v>213</v>
      </c>
      <c r="B38" s="82" t="s">
        <v>95</v>
      </c>
      <c r="C38" s="312">
        <f>F38+I38</f>
        <v>6111.5678100000005</v>
      </c>
      <c r="D38" s="312">
        <f>G38+J38</f>
        <v>6098.1028100000003</v>
      </c>
      <c r="E38" s="313">
        <f t="shared" si="5"/>
        <v>99.779680101430472</v>
      </c>
      <c r="F38" s="304">
        <f>район!C129</f>
        <v>5923.5628100000004</v>
      </c>
      <c r="G38" s="313">
        <f>район!D129</f>
        <v>5923.5628100000004</v>
      </c>
      <c r="H38" s="314">
        <f t="shared" si="2"/>
        <v>100</v>
      </c>
      <c r="I38" s="314">
        <f>Справка!EQ31</f>
        <v>188.005</v>
      </c>
      <c r="J38" s="314">
        <f>Справка!ER31</f>
        <v>174.54</v>
      </c>
      <c r="K38" s="314">
        <f t="shared" si="7"/>
        <v>92.837956437328799</v>
      </c>
    </row>
    <row r="39" spans="1:12" ht="30" customHeight="1">
      <c r="A39" s="81" t="s">
        <v>214</v>
      </c>
      <c r="B39" s="82" t="s">
        <v>107</v>
      </c>
      <c r="C39" s="304">
        <f>F39</f>
        <v>22</v>
      </c>
      <c r="D39" s="315">
        <f>G39</f>
        <v>22</v>
      </c>
      <c r="E39" s="313">
        <f t="shared" si="5"/>
        <v>100</v>
      </c>
      <c r="F39" s="304">
        <f>район!C135</f>
        <v>22</v>
      </c>
      <c r="G39" s="313">
        <f>район!D135</f>
        <v>22</v>
      </c>
      <c r="H39" s="314">
        <f t="shared" si="2"/>
        <v>100</v>
      </c>
      <c r="I39" s="314"/>
      <c r="J39" s="314"/>
      <c r="K39" s="314">
        <v>0</v>
      </c>
    </row>
    <row r="40" spans="1:12" ht="34.5" customHeight="1">
      <c r="A40" s="81" t="s">
        <v>215</v>
      </c>
      <c r="B40" s="82" t="s">
        <v>111</v>
      </c>
      <c r="C40" s="304">
        <f>F40</f>
        <v>0</v>
      </c>
      <c r="D40" s="315">
        <f>G40</f>
        <v>0</v>
      </c>
      <c r="E40" s="313"/>
      <c r="F40" s="304">
        <f>район!C137</f>
        <v>0</v>
      </c>
      <c r="G40" s="313">
        <f>район!D137</f>
        <v>0</v>
      </c>
      <c r="H40" s="314">
        <v>0</v>
      </c>
      <c r="I40" s="314"/>
      <c r="J40" s="316"/>
      <c r="K40" s="314">
        <v>0</v>
      </c>
    </row>
    <row r="41" spans="1:12" ht="30" customHeight="1">
      <c r="A41" s="81" t="s">
        <v>216</v>
      </c>
      <c r="B41" s="82" t="s">
        <v>217</v>
      </c>
      <c r="C41" s="304">
        <v>0</v>
      </c>
      <c r="D41" s="315"/>
      <c r="E41" s="313">
        <v>0</v>
      </c>
      <c r="F41" s="304">
        <f>район!C139</f>
        <v>37619.419009999998</v>
      </c>
      <c r="G41" s="313">
        <f>район!D139</f>
        <v>37619.290049999996</v>
      </c>
      <c r="H41" s="314">
        <f t="shared" si="2"/>
        <v>99.999657198320989</v>
      </c>
      <c r="I41" s="314">
        <f>Справка!ET31</f>
        <v>0</v>
      </c>
      <c r="J41" s="316">
        <f>Справка!EU31</f>
        <v>0</v>
      </c>
      <c r="K41" s="314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-15192.746470000129</v>
      </c>
      <c r="D43" s="139">
        <f>D27-D28</f>
        <v>28863.287750000134</v>
      </c>
      <c r="E43" s="139"/>
      <c r="F43" s="139">
        <f>F27-F28</f>
        <v>-9930.6299999997718</v>
      </c>
      <c r="G43" s="139">
        <f>G27-G28</f>
        <v>27919.214060000144</v>
      </c>
      <c r="H43" s="139"/>
      <c r="I43" s="139">
        <f>I27-I28</f>
        <v>-5262.1164700000081</v>
      </c>
      <c r="J43" s="139">
        <f>J27-J28</f>
        <v>944.07369000003382</v>
      </c>
      <c r="K43" s="139"/>
    </row>
    <row r="44" spans="1:12" hidden="1">
      <c r="A44" s="140"/>
      <c r="B44" s="141"/>
      <c r="C44" s="139">
        <f>C43-F44</f>
        <v>-3.4924596548080444E-10</v>
      </c>
      <c r="D44" s="139">
        <f>D43-G44</f>
        <v>-4.3655745685100555E-11</v>
      </c>
      <c r="E44" s="139"/>
      <c r="F44" s="139">
        <f>F43+I43</f>
        <v>-15192.74646999978</v>
      </c>
      <c r="G44" s="139">
        <f>G43+J43</f>
        <v>28863.287750000178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612360.94463000027</v>
      </c>
      <c r="G45" s="143">
        <f>D28+G44-D23-D26</f>
        <v>609728.01404000004</v>
      </c>
      <c r="H45" s="137"/>
      <c r="I45" s="137"/>
      <c r="J45" s="137"/>
      <c r="K45" s="139"/>
    </row>
    <row r="46" spans="1:12">
      <c r="A46" s="140"/>
      <c r="B46" s="141"/>
      <c r="C46" s="324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120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218</v>
      </c>
      <c r="B50" s="141"/>
      <c r="C50" s="144" t="s">
        <v>267</v>
      </c>
      <c r="D50" s="474"/>
      <c r="E50" s="474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  <row r="82" hidden="1"/>
    <row r="83" hidden="1"/>
    <row r="84" hidden="1"/>
  </sheetData>
  <customSheetViews>
    <customSheetView guid="{487FB2A4-0730-401E-81DB-8304F8599D85}" scale="80" showPageBreaks="1" printArea="1" hiddenRows="1" view="pageBreakPreview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2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3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4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5"/>
    </customSheetView>
    <customSheetView guid="{B30CE22D-C12F-4E12-8BB9-3AAE0A6991CC}" scale="80" showPageBreaks="1" printArea="1" hiddenRows="1" view="pageBreakPreview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6"/>
    </customSheetView>
    <customSheetView guid="{5BFCA170-DEAE-4D2C-98A0-1E68B427AC01}" scale="80" showPageBreaks="1" printArea="1" hiddenRows="1" view="pageBreakPreview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7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62" orientation="landscape" r:id="rId8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02"/>
  <sheetViews>
    <sheetView topLeftCell="A43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6" t="s">
        <v>425</v>
      </c>
      <c r="B1" s="516"/>
      <c r="C1" s="516"/>
      <c r="D1" s="516"/>
      <c r="E1" s="516"/>
      <c r="F1" s="516"/>
    </row>
    <row r="2" spans="1:6">
      <c r="A2" s="516"/>
      <c r="B2" s="516"/>
      <c r="C2" s="516"/>
      <c r="D2" s="516"/>
      <c r="E2" s="516"/>
      <c r="F2" s="516"/>
    </row>
    <row r="3" spans="1:6" ht="66.75" customHeight="1">
      <c r="A3" s="2" t="s">
        <v>1</v>
      </c>
      <c r="B3" s="2" t="s">
        <v>2</v>
      </c>
      <c r="C3" s="72" t="s">
        <v>346</v>
      </c>
      <c r="D3" s="73" t="s">
        <v>419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2515</v>
      </c>
      <c r="D4" s="5">
        <f>D5+D12+D14+D17+D7</f>
        <v>2524.6231399999997</v>
      </c>
      <c r="E4" s="5">
        <f>SUM(D4/C4*100)</f>
        <v>100.38262982107355</v>
      </c>
      <c r="F4" s="5">
        <f>SUM(D4-C4)</f>
        <v>9.6231399999996938</v>
      </c>
    </row>
    <row r="5" spans="1:6" s="6" customFormat="1">
      <c r="A5" s="68">
        <v>1010000000</v>
      </c>
      <c r="B5" s="67" t="s">
        <v>6</v>
      </c>
      <c r="C5" s="5">
        <f>C6</f>
        <v>262.3</v>
      </c>
      <c r="D5" s="5">
        <f>D6</f>
        <v>235.73829000000001</v>
      </c>
      <c r="E5" s="5">
        <f t="shared" ref="E5:E51" si="0">SUM(D5/C5*100)</f>
        <v>89.873537933663741</v>
      </c>
      <c r="F5" s="5">
        <f t="shared" ref="F5:F51" si="1">SUM(D5-C5)</f>
        <v>-26.561710000000005</v>
      </c>
    </row>
    <row r="6" spans="1:6">
      <c r="A6" s="7">
        <v>1010200001</v>
      </c>
      <c r="B6" s="8" t="s">
        <v>229</v>
      </c>
      <c r="C6" s="9">
        <v>262.3</v>
      </c>
      <c r="D6" s="10">
        <v>235.73829000000001</v>
      </c>
      <c r="E6" s="9">
        <f t="shared" ref="E6:E11" si="2">SUM(D6/C6*100)</f>
        <v>89.873537933663741</v>
      </c>
      <c r="F6" s="9">
        <f t="shared" si="1"/>
        <v>-26.561710000000005</v>
      </c>
    </row>
    <row r="7" spans="1:6" ht="31.5">
      <c r="A7" s="3">
        <v>1030000000</v>
      </c>
      <c r="B7" s="13" t="s">
        <v>281</v>
      </c>
      <c r="C7" s="5">
        <f>C8+C10+C9</f>
        <v>422.7</v>
      </c>
      <c r="D7" s="5">
        <f>D8+D9+D10+D11</f>
        <v>449.83376999999996</v>
      </c>
      <c r="E7" s="9">
        <f t="shared" si="2"/>
        <v>106.41915542938254</v>
      </c>
      <c r="F7" s="9">
        <f t="shared" si="1"/>
        <v>27.13376999999997</v>
      </c>
    </row>
    <row r="8" spans="1:6">
      <c r="A8" s="7">
        <v>1030223001</v>
      </c>
      <c r="B8" s="8" t="s">
        <v>283</v>
      </c>
      <c r="C8" s="9">
        <v>157.66999999999999</v>
      </c>
      <c r="D8" s="10">
        <v>200.43033</v>
      </c>
      <c r="E8" s="9">
        <f t="shared" si="2"/>
        <v>127.12014333735017</v>
      </c>
      <c r="F8" s="9">
        <f t="shared" si="1"/>
        <v>42.76033000000001</v>
      </c>
    </row>
    <row r="9" spans="1:6">
      <c r="A9" s="7">
        <v>1030224001</v>
      </c>
      <c r="B9" s="8" t="s">
        <v>289</v>
      </c>
      <c r="C9" s="9">
        <v>1.7</v>
      </c>
      <c r="D9" s="10">
        <v>1.9302900000000001</v>
      </c>
      <c r="E9" s="9">
        <f t="shared" si="2"/>
        <v>113.54647058823531</v>
      </c>
      <c r="F9" s="9">
        <f t="shared" si="1"/>
        <v>0.23029000000000011</v>
      </c>
    </row>
    <row r="10" spans="1:6">
      <c r="A10" s="7">
        <v>1030225001</v>
      </c>
      <c r="B10" s="8" t="s">
        <v>282</v>
      </c>
      <c r="C10" s="9">
        <v>263.33</v>
      </c>
      <c r="D10" s="10">
        <v>292.38092</v>
      </c>
      <c r="E10" s="9">
        <f t="shared" si="2"/>
        <v>111.03213458398209</v>
      </c>
      <c r="F10" s="9">
        <f t="shared" si="1"/>
        <v>29.050920000000019</v>
      </c>
    </row>
    <row r="11" spans="1:6">
      <c r="A11" s="7">
        <v>1030265001</v>
      </c>
      <c r="B11" s="8" t="s">
        <v>291</v>
      </c>
      <c r="C11" s="9">
        <v>0</v>
      </c>
      <c r="D11" s="10">
        <v>-44.907769999999999</v>
      </c>
      <c r="E11" s="9" t="e">
        <f t="shared" si="2"/>
        <v>#DIV/0!</v>
      </c>
      <c r="F11" s="9">
        <f t="shared" si="1"/>
        <v>-44.907769999999999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35.739049999999999</v>
      </c>
      <c r="E12" s="5">
        <f t="shared" si="0"/>
        <v>89.347624999999994</v>
      </c>
      <c r="F12" s="5">
        <f t="shared" si="1"/>
        <v>-4.2609500000000011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35.739049999999999</v>
      </c>
      <c r="E13" s="9">
        <f t="shared" si="0"/>
        <v>89.347624999999994</v>
      </c>
      <c r="F13" s="9">
        <f t="shared" si="1"/>
        <v>-4.2609500000000011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1780</v>
      </c>
      <c r="D14" s="5">
        <f>D15+D16</f>
        <v>1795.02703</v>
      </c>
      <c r="E14" s="5">
        <f t="shared" si="0"/>
        <v>100.84421516853932</v>
      </c>
      <c r="F14" s="5">
        <f t="shared" si="1"/>
        <v>15.027029999999968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277.89713</v>
      </c>
      <c r="E15" s="9">
        <f t="shared" si="0"/>
        <v>173.68570624999998</v>
      </c>
      <c r="F15" s="9">
        <f>SUM(D15-C15)</f>
        <v>117.89713</v>
      </c>
    </row>
    <row r="16" spans="1:6" ht="15.75" customHeight="1">
      <c r="A16" s="7">
        <v>1060600000</v>
      </c>
      <c r="B16" s="11" t="s">
        <v>8</v>
      </c>
      <c r="C16" s="9">
        <v>1620</v>
      </c>
      <c r="D16" s="10">
        <v>1517.1298999999999</v>
      </c>
      <c r="E16" s="9">
        <f t="shared" si="0"/>
        <v>93.649993827160486</v>
      </c>
      <c r="F16" s="9">
        <f t="shared" si="1"/>
        <v>-102.87010000000009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8.2850000000000001</v>
      </c>
      <c r="E17" s="5">
        <f t="shared" si="0"/>
        <v>82.85</v>
      </c>
      <c r="F17" s="5">
        <f t="shared" si="1"/>
        <v>-1.7149999999999999</v>
      </c>
    </row>
    <row r="18" spans="1:6" ht="18" customHeight="1">
      <c r="A18" s="7">
        <v>1080400001</v>
      </c>
      <c r="B18" s="8" t="s">
        <v>228</v>
      </c>
      <c r="C18" s="9">
        <v>10</v>
      </c>
      <c r="D18" s="9">
        <v>8.2850000000000001</v>
      </c>
      <c r="E18" s="9">
        <f t="shared" si="0"/>
        <v>82.85</v>
      </c>
      <c r="F18" s="9">
        <f t="shared" si="1"/>
        <v>-1.7149999999999999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187.3</v>
      </c>
      <c r="D25" s="5">
        <f>D26+D29+D31+D36+D34</f>
        <v>193.32802999999998</v>
      </c>
      <c r="E25" s="5">
        <f t="shared" si="0"/>
        <v>103.21838227442603</v>
      </c>
      <c r="F25" s="5">
        <f t="shared" si="1"/>
        <v>6.0280299999999727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137.30000000000001</v>
      </c>
      <c r="D26" s="5">
        <f>D27+D28</f>
        <v>186.51184000000001</v>
      </c>
      <c r="E26" s="5">
        <f t="shared" si="0"/>
        <v>135.84256372906046</v>
      </c>
      <c r="F26" s="5">
        <f t="shared" si="1"/>
        <v>49.211839999999995</v>
      </c>
    </row>
    <row r="27" spans="1:6" ht="15.75" customHeight="1">
      <c r="A27" s="16">
        <v>1110502510</v>
      </c>
      <c r="B27" s="17" t="s">
        <v>226</v>
      </c>
      <c r="C27" s="12">
        <v>107.3</v>
      </c>
      <c r="D27" s="12">
        <v>128.01184000000001</v>
      </c>
      <c r="E27" s="9">
        <f t="shared" si="0"/>
        <v>119.30273998136067</v>
      </c>
      <c r="F27" s="9">
        <f t="shared" si="1"/>
        <v>20.711840000000009</v>
      </c>
    </row>
    <row r="28" spans="1:6" ht="17.25" customHeight="1">
      <c r="A28" s="7">
        <v>1110503510</v>
      </c>
      <c r="B28" s="11" t="s">
        <v>225</v>
      </c>
      <c r="C28" s="12">
        <v>30</v>
      </c>
      <c r="D28" s="10">
        <v>58.5</v>
      </c>
      <c r="E28" s="9">
        <f t="shared" si="0"/>
        <v>195</v>
      </c>
      <c r="F28" s="9">
        <f t="shared" si="1"/>
        <v>28.5</v>
      </c>
    </row>
    <row r="29" spans="1:6" s="15" customFormat="1" ht="15" customHeight="1">
      <c r="A29" s="68">
        <v>1130000000</v>
      </c>
      <c r="B29" s="69" t="s">
        <v>131</v>
      </c>
      <c r="C29" s="5">
        <f>C30</f>
        <v>50</v>
      </c>
      <c r="D29" s="5">
        <f>D30</f>
        <v>2.26797</v>
      </c>
      <c r="E29" s="5">
        <f t="shared" si="0"/>
        <v>4.5359400000000001</v>
      </c>
      <c r="F29" s="5">
        <f t="shared" si="1"/>
        <v>-47.732030000000002</v>
      </c>
    </row>
    <row r="30" spans="1:6" ht="15.75" customHeight="1">
      <c r="A30" s="7">
        <v>1130206005</v>
      </c>
      <c r="B30" s="8" t="s">
        <v>224</v>
      </c>
      <c r="C30" s="9">
        <v>50</v>
      </c>
      <c r="D30" s="10">
        <v>2.26797</v>
      </c>
      <c r="E30" s="9">
        <f t="shared" si="0"/>
        <v>4.5359400000000001</v>
      </c>
      <c r="F30" s="9">
        <f t="shared" si="1"/>
        <v>-47.732030000000002</v>
      </c>
    </row>
    <row r="31" spans="1:6" ht="15.7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7">
        <v>1169000000</v>
      </c>
      <c r="B34" s="13" t="s">
        <v>340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customHeight="1">
      <c r="A35" s="7">
        <v>1169005010</v>
      </c>
      <c r="B35" s="8" t="s">
        <v>341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135</v>
      </c>
      <c r="C36" s="5">
        <f>C37+C38</f>
        <v>0</v>
      </c>
      <c r="D36" s="5">
        <f>D37+D38</f>
        <v>4.5482199999999997</v>
      </c>
      <c r="E36" s="5" t="e">
        <f t="shared" si="0"/>
        <v>#DIV/0!</v>
      </c>
      <c r="F36" s="5">
        <f t="shared" si="1"/>
        <v>4.5482199999999997</v>
      </c>
    </row>
    <row r="37" spans="1:7" ht="15.75" customHeight="1">
      <c r="A37" s="7">
        <v>1170105005</v>
      </c>
      <c r="B37" s="8" t="s">
        <v>18</v>
      </c>
      <c r="C37" s="9">
        <v>0</v>
      </c>
      <c r="D37" s="9">
        <v>4.5482199999999997</v>
      </c>
      <c r="E37" s="9" t="e">
        <f t="shared" si="0"/>
        <v>#DIV/0!</v>
      </c>
      <c r="F37" s="9">
        <f t="shared" si="1"/>
        <v>4.5482199999999997</v>
      </c>
    </row>
    <row r="38" spans="1:7" ht="18.7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19</v>
      </c>
      <c r="C39" s="438">
        <f>SUM(C4,C25)</f>
        <v>2702.3</v>
      </c>
      <c r="D39" s="438">
        <f>SUM(D4,D25)</f>
        <v>2717.9511699999998</v>
      </c>
      <c r="E39" s="5">
        <f t="shared" si="0"/>
        <v>100.57917958775857</v>
      </c>
      <c r="F39" s="5">
        <f t="shared" si="1"/>
        <v>15.651169999999638</v>
      </c>
    </row>
    <row r="40" spans="1:7" s="6" customFormat="1">
      <c r="A40" s="3">
        <v>2000000000</v>
      </c>
      <c r="B40" s="4" t="s">
        <v>20</v>
      </c>
      <c r="C40" s="5">
        <f>C41+C43+C45+C46+C48+C49+C47+C42+C44</f>
        <v>3333.462</v>
      </c>
      <c r="D40" s="5">
        <f>D41+D43+D45+D46+D48+D49+D42+D47</f>
        <v>3333.4443500000002</v>
      </c>
      <c r="E40" s="5">
        <f t="shared" si="0"/>
        <v>99.99947052043791</v>
      </c>
      <c r="F40" s="5">
        <f t="shared" si="1"/>
        <v>-1.7649999999775901E-2</v>
      </c>
      <c r="G40" s="19"/>
    </row>
    <row r="41" spans="1:7">
      <c r="A41" s="16">
        <v>2021000000</v>
      </c>
      <c r="B41" s="17" t="s">
        <v>21</v>
      </c>
      <c r="C41" s="99">
        <v>1357.7539999999999</v>
      </c>
      <c r="D41" s="20">
        <v>1357.7539999999999</v>
      </c>
      <c r="E41" s="9">
        <f t="shared" si="0"/>
        <v>100</v>
      </c>
      <c r="F41" s="9">
        <f t="shared" si="1"/>
        <v>0</v>
      </c>
    </row>
    <row r="42" spans="1:7" ht="17.25" customHeight="1">
      <c r="A42" s="16">
        <v>2021500200</v>
      </c>
      <c r="B42" s="17" t="s">
        <v>232</v>
      </c>
      <c r="C42" s="12">
        <v>420</v>
      </c>
      <c r="D42" s="20">
        <v>420</v>
      </c>
      <c r="E42" s="9">
        <f>SUM(D42/C42*100)</f>
        <v>100</v>
      </c>
      <c r="F42" s="9">
        <f>SUM(D42-C42)</f>
        <v>0</v>
      </c>
    </row>
    <row r="43" spans="1:7" ht="19.5" customHeight="1">
      <c r="A43" s="16">
        <v>2022000000</v>
      </c>
      <c r="B43" s="17" t="s">
        <v>22</v>
      </c>
      <c r="C43" s="12">
        <v>1070.72</v>
      </c>
      <c r="D43" s="10">
        <v>1070.72</v>
      </c>
      <c r="E43" s="9">
        <f t="shared" si="0"/>
        <v>100</v>
      </c>
      <c r="F43" s="9">
        <f t="shared" si="1"/>
        <v>0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23</v>
      </c>
      <c r="C45" s="12">
        <v>175.78800000000001</v>
      </c>
      <c r="D45" s="251">
        <v>175.78800000000001</v>
      </c>
      <c r="E45" s="9">
        <f t="shared" si="0"/>
        <v>100</v>
      </c>
      <c r="F45" s="9">
        <f t="shared" si="1"/>
        <v>0</v>
      </c>
    </row>
    <row r="46" spans="1:7" ht="17.25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20.25" customHeight="1">
      <c r="A47" s="7">
        <v>2070500010</v>
      </c>
      <c r="B47" s="18" t="s">
        <v>298</v>
      </c>
      <c r="C47" s="12">
        <v>309.2</v>
      </c>
      <c r="D47" s="252">
        <v>309.18234999999999</v>
      </c>
      <c r="E47" s="9">
        <f t="shared" si="0"/>
        <v>99.994291720569208</v>
      </c>
      <c r="F47" s="9">
        <f t="shared" si="1"/>
        <v>-1.7650000000003274E-2</v>
      </c>
    </row>
    <row r="48" spans="1:7" ht="19.5" hidden="1" customHeight="1">
      <c r="A48" s="16">
        <v>2020900000</v>
      </c>
      <c r="B48" s="18" t="s">
        <v>25</v>
      </c>
      <c r="C48" s="12"/>
      <c r="D48" s="252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27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28</v>
      </c>
      <c r="C51" s="386">
        <f>C39+C40</f>
        <v>6035.7620000000006</v>
      </c>
      <c r="D51" s="387">
        <f>D39+D40</f>
        <v>6051.39552</v>
      </c>
      <c r="E51" s="5">
        <f t="shared" si="0"/>
        <v>100.25901485181157</v>
      </c>
      <c r="F51" s="5">
        <f t="shared" si="1"/>
        <v>15.633519999999407</v>
      </c>
      <c r="G51" s="293"/>
    </row>
    <row r="52" spans="1:7" s="6" customFormat="1">
      <c r="A52" s="3"/>
      <c r="B52" s="21" t="s">
        <v>321</v>
      </c>
      <c r="C52" s="93">
        <f>C51-C98</f>
        <v>-111.73350999999911</v>
      </c>
      <c r="D52" s="93">
        <f>D51-D98</f>
        <v>92.209240000000136</v>
      </c>
      <c r="E52" s="22"/>
      <c r="F52" s="22"/>
    </row>
    <row r="53" spans="1:7" ht="23.25" customHeight="1">
      <c r="A53" s="23"/>
      <c r="B53" s="24"/>
      <c r="C53" s="242"/>
      <c r="D53" s="242"/>
      <c r="E53" s="132"/>
      <c r="F53" s="92"/>
    </row>
    <row r="54" spans="1:7" ht="65.25" customHeight="1">
      <c r="A54" s="28" t="s">
        <v>1</v>
      </c>
      <c r="B54" s="28" t="s">
        <v>29</v>
      </c>
      <c r="C54" s="72" t="s">
        <v>346</v>
      </c>
      <c r="D54" s="103" t="s">
        <v>415</v>
      </c>
      <c r="E54" s="72" t="s">
        <v>3</v>
      </c>
      <c r="F54" s="74" t="s">
        <v>4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2">
        <f>C57+C58+C59+C60+C61+C63+C62</f>
        <v>1353.0815</v>
      </c>
      <c r="D56" s="33">
        <f>D57+D58+D59+D60+D61+D63+D62</f>
        <v>1275.6079500000001</v>
      </c>
      <c r="E56" s="34">
        <f>SUM(D56/C56*100)</f>
        <v>94.274287986348199</v>
      </c>
      <c r="F56" s="34">
        <f>SUM(D56-C56)</f>
        <v>-77.473549999999932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8" customHeight="1">
      <c r="A58" s="35" t="s">
        <v>34</v>
      </c>
      <c r="B58" s="39" t="s">
        <v>35</v>
      </c>
      <c r="C58" s="37">
        <v>1336.1379999999999</v>
      </c>
      <c r="D58" s="37">
        <v>1263.66445</v>
      </c>
      <c r="E58" s="38">
        <f t="shared" ref="E58:E98" si="3">SUM(D58/C58*100)</f>
        <v>94.575893358320769</v>
      </c>
      <c r="F58" s="38">
        <f t="shared" ref="F58:F98" si="4">SUM(D58-C58)</f>
        <v>-72.473549999999932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11.9435</v>
      </c>
      <c r="D63" s="37">
        <v>11.9435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2">
        <f>C65</f>
        <v>170.749</v>
      </c>
      <c r="D64" s="32">
        <f>D65</f>
        <v>170.749</v>
      </c>
      <c r="E64" s="34">
        <f t="shared" si="3"/>
        <v>100</v>
      </c>
      <c r="F64" s="34">
        <f t="shared" si="4"/>
        <v>0</v>
      </c>
    </row>
    <row r="65" spans="1:7">
      <c r="A65" s="43" t="s">
        <v>48</v>
      </c>
      <c r="B65" s="44" t="s">
        <v>49</v>
      </c>
      <c r="C65" s="37">
        <v>170.749</v>
      </c>
      <c r="D65" s="37">
        <v>170.749</v>
      </c>
      <c r="E65" s="38">
        <f t="shared" si="3"/>
        <v>100</v>
      </c>
      <c r="F65" s="38">
        <f t="shared" si="4"/>
        <v>0</v>
      </c>
    </row>
    <row r="66" spans="1:7" s="6" customFormat="1" ht="18.75" customHeight="1">
      <c r="A66" s="30" t="s">
        <v>50</v>
      </c>
      <c r="B66" s="31" t="s">
        <v>51</v>
      </c>
      <c r="C66" s="32">
        <f>C70+C69+C68+C67</f>
        <v>9.4405000000000001</v>
      </c>
      <c r="D66" s="32">
        <f>D70+D69+D68+D67</f>
        <v>9.4396599999999999</v>
      </c>
      <c r="E66" s="34">
        <f t="shared" si="3"/>
        <v>99.991102166198814</v>
      </c>
      <c r="F66" s="34">
        <f t="shared" si="4"/>
        <v>-8.4000000000017394E-4</v>
      </c>
    </row>
    <row r="67" spans="1:7" hidden="1">
      <c r="A67" s="35" t="s">
        <v>52</v>
      </c>
      <c r="B67" s="39" t="s">
        <v>53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56</v>
      </c>
      <c r="B69" s="47" t="s">
        <v>57</v>
      </c>
      <c r="C69" s="37">
        <v>2.7905000000000002</v>
      </c>
      <c r="D69" s="37">
        <v>2.78966</v>
      </c>
      <c r="E69" s="38">
        <f t="shared" si="3"/>
        <v>99.969897867765624</v>
      </c>
      <c r="F69" s="38">
        <f t="shared" si="4"/>
        <v>-8.4000000000017394E-4</v>
      </c>
    </row>
    <row r="70" spans="1:7" ht="15.75" customHeight="1">
      <c r="A70" s="46" t="s">
        <v>219</v>
      </c>
      <c r="B70" s="47" t="s">
        <v>220</v>
      </c>
      <c r="C70" s="37">
        <v>6.65</v>
      </c>
      <c r="D70" s="37">
        <v>6.65</v>
      </c>
      <c r="E70" s="38">
        <f>SUM(D70/C70*100)</f>
        <v>100</v>
      </c>
      <c r="F70" s="38">
        <f>SUM(D70-C70)</f>
        <v>0</v>
      </c>
    </row>
    <row r="71" spans="1:7" s="6" customFormat="1">
      <c r="A71" s="30" t="s">
        <v>58</v>
      </c>
      <c r="B71" s="31" t="s">
        <v>59</v>
      </c>
      <c r="C71" s="48">
        <f>SUM(C72:C75)</f>
        <v>2173.4105099999997</v>
      </c>
      <c r="D71" s="48">
        <f>SUM(D72:D75)</f>
        <v>2064.5874699999999</v>
      </c>
      <c r="E71" s="34">
        <f t="shared" si="3"/>
        <v>94.992982710845553</v>
      </c>
      <c r="F71" s="34">
        <f t="shared" si="4"/>
        <v>-108.82303999999976</v>
      </c>
    </row>
    <row r="72" spans="1:7" ht="17.25" customHeight="1">
      <c r="A72" s="35" t="s">
        <v>60</v>
      </c>
      <c r="B72" s="39" t="s">
        <v>61</v>
      </c>
      <c r="C72" s="49">
        <v>11.25</v>
      </c>
      <c r="D72" s="37">
        <v>11.25</v>
      </c>
      <c r="E72" s="38">
        <f t="shared" si="3"/>
        <v>100</v>
      </c>
      <c r="F72" s="38">
        <f t="shared" si="4"/>
        <v>0</v>
      </c>
    </row>
    <row r="73" spans="1:7" s="6" customFormat="1" ht="17.25" customHeight="1">
      <c r="A73" s="35" t="s">
        <v>62</v>
      </c>
      <c r="B73" s="39" t="s">
        <v>63</v>
      </c>
      <c r="C73" s="49">
        <v>152.941</v>
      </c>
      <c r="D73" s="37">
        <v>109.21904000000001</v>
      </c>
      <c r="E73" s="38">
        <f t="shared" si="3"/>
        <v>71.412531629844196</v>
      </c>
      <c r="F73" s="38">
        <f t="shared" si="4"/>
        <v>-43.721959999999996</v>
      </c>
      <c r="G73" s="50"/>
    </row>
    <row r="74" spans="1:7">
      <c r="A74" s="35" t="s">
        <v>64</v>
      </c>
      <c r="B74" s="39" t="s">
        <v>65</v>
      </c>
      <c r="C74" s="49">
        <v>1829.2195099999999</v>
      </c>
      <c r="D74" s="37">
        <v>1764.2685100000001</v>
      </c>
      <c r="E74" s="38">
        <f t="shared" si="3"/>
        <v>96.449250642422911</v>
      </c>
      <c r="F74" s="38">
        <f t="shared" si="4"/>
        <v>-64.950999999999794</v>
      </c>
    </row>
    <row r="75" spans="1:7">
      <c r="A75" s="35" t="s">
        <v>66</v>
      </c>
      <c r="B75" s="39" t="s">
        <v>67</v>
      </c>
      <c r="C75" s="49">
        <v>180</v>
      </c>
      <c r="D75" s="37">
        <v>179.84992</v>
      </c>
      <c r="E75" s="38">
        <f t="shared" si="3"/>
        <v>99.916622222222216</v>
      </c>
      <c r="F75" s="38">
        <f t="shared" si="4"/>
        <v>-0.15008000000000266</v>
      </c>
    </row>
    <row r="76" spans="1:7" s="6" customFormat="1" ht="18" customHeight="1">
      <c r="A76" s="30" t="s">
        <v>68</v>
      </c>
      <c r="B76" s="31" t="s">
        <v>69</v>
      </c>
      <c r="C76" s="32">
        <f>SUM(C77:C80)</f>
        <v>908.81399999999996</v>
      </c>
      <c r="D76" s="32">
        <f>SUM(D77:D80)</f>
        <v>906.88819999999998</v>
      </c>
      <c r="E76" s="34">
        <f t="shared" si="3"/>
        <v>99.788097454484642</v>
      </c>
      <c r="F76" s="34">
        <f t="shared" si="4"/>
        <v>-1.9257999999999811</v>
      </c>
    </row>
    <row r="77" spans="1:7" hidden="1">
      <c r="A77" s="35" t="s">
        <v>70</v>
      </c>
      <c r="B77" s="51" t="s">
        <v>71</v>
      </c>
      <c r="C77" s="37"/>
      <c r="D77" s="37"/>
      <c r="E77" s="38" t="e">
        <f t="shared" si="3"/>
        <v>#DIV/0!</v>
      </c>
      <c r="F77" s="38">
        <f t="shared" si="4"/>
        <v>0</v>
      </c>
    </row>
    <row r="78" spans="1:7" ht="15.75" hidden="1" customHeight="1">
      <c r="A78" s="35" t="s">
        <v>72</v>
      </c>
      <c r="B78" s="51" t="s">
        <v>73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6.5" customHeight="1">
      <c r="A79" s="35" t="s">
        <v>74</v>
      </c>
      <c r="B79" s="39" t="s">
        <v>75</v>
      </c>
      <c r="C79" s="37">
        <v>908.81399999999996</v>
      </c>
      <c r="D79" s="37">
        <v>906.88819999999998</v>
      </c>
      <c r="E79" s="38">
        <f t="shared" si="3"/>
        <v>99.788097454484642</v>
      </c>
      <c r="F79" s="38">
        <f t="shared" si="4"/>
        <v>-1.9257999999999811</v>
      </c>
    </row>
    <row r="80" spans="1:7" ht="31.5" hidden="1">
      <c r="A80" s="35" t="s">
        <v>264</v>
      </c>
      <c r="B80" s="39" t="s">
        <v>278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>
      <c r="A81" s="30" t="s">
        <v>86</v>
      </c>
      <c r="B81" s="31" t="s">
        <v>87</v>
      </c>
      <c r="C81" s="32">
        <f>C82</f>
        <v>1530</v>
      </c>
      <c r="D81" s="32">
        <f>SUM(D82)</f>
        <v>1529.914</v>
      </c>
      <c r="E81" s="34">
        <f t="shared" si="3"/>
        <v>99.994379084967321</v>
      </c>
      <c r="F81" s="34">
        <f t="shared" si="4"/>
        <v>-8.6000000000012733E-2</v>
      </c>
    </row>
    <row r="82" spans="1:6" ht="16.5" hidden="1" customHeight="1">
      <c r="A82" s="35" t="s">
        <v>88</v>
      </c>
      <c r="B82" s="39" t="s">
        <v>234</v>
      </c>
      <c r="C82" s="37">
        <v>1530</v>
      </c>
      <c r="D82" s="37">
        <v>1529.914</v>
      </c>
      <c r="E82" s="38">
        <f t="shared" si="3"/>
        <v>99.994379084967321</v>
      </c>
      <c r="F82" s="38">
        <f t="shared" si="4"/>
        <v>-8.6000000000012733E-2</v>
      </c>
    </row>
    <row r="83" spans="1:6" s="6" customFormat="1" ht="18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0.75" hidden="1" customHeight="1">
      <c r="A84" s="53">
        <v>1001</v>
      </c>
      <c r="B84" s="54" t="s">
        <v>90</v>
      </c>
      <c r="C84" s="37"/>
      <c r="D84" s="32">
        <v>0</v>
      </c>
      <c r="E84" s="38" t="e">
        <f t="shared" si="3"/>
        <v>#DIV/0!</v>
      </c>
      <c r="F84" s="38">
        <f t="shared" si="4"/>
        <v>0</v>
      </c>
    </row>
    <row r="85" spans="1:6" ht="18.75" hidden="1" customHeight="1">
      <c r="A85" s="53">
        <v>1003</v>
      </c>
      <c r="B85" s="54" t="s">
        <v>91</v>
      </c>
      <c r="C85" s="37">
        <v>0</v>
      </c>
      <c r="D85" s="32">
        <v>0</v>
      </c>
      <c r="E85" s="38" t="e">
        <f t="shared" si="3"/>
        <v>#DIV/0!</v>
      </c>
      <c r="F85" s="38">
        <f t="shared" si="4"/>
        <v>0</v>
      </c>
    </row>
    <row r="86" spans="1:6" ht="19.5" hidden="1" customHeight="1">
      <c r="A86" s="53">
        <v>1004</v>
      </c>
      <c r="B86" s="54" t="s">
        <v>92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C89+C90+C91+C92+C93</f>
        <v>2</v>
      </c>
      <c r="D88" s="32">
        <f>D89+D90+D91+D92+D93</f>
        <v>2</v>
      </c>
      <c r="E88" s="38">
        <f t="shared" si="3"/>
        <v>100</v>
      </c>
      <c r="F88" s="22">
        <f>F89+F90+F91+F92+F93</f>
        <v>0</v>
      </c>
    </row>
    <row r="89" spans="1:6" ht="19.5" customHeight="1">
      <c r="A89" s="35" t="s">
        <v>97</v>
      </c>
      <c r="B89" s="39" t="s">
        <v>98</v>
      </c>
      <c r="C89" s="37">
        <v>2</v>
      </c>
      <c r="D89" s="37">
        <v>2</v>
      </c>
      <c r="E89" s="38">
        <f t="shared" si="3"/>
        <v>100</v>
      </c>
      <c r="F89" s="38">
        <f>SUM(D89-C89)</f>
        <v>0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3.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57.7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5" hidden="1" customHeight="1">
      <c r="A97" s="53">
        <v>1403</v>
      </c>
      <c r="B97" s="54" t="s">
        <v>118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6" s="6" customFormat="1" ht="16.5" customHeight="1">
      <c r="A98" s="52"/>
      <c r="B98" s="57" t="s">
        <v>119</v>
      </c>
      <c r="C98" s="377">
        <f>C56+C64+C66+C71+C76+C81+C83+C88+C94</f>
        <v>6147.4955099999997</v>
      </c>
      <c r="D98" s="377">
        <f>D56+D64+D66+D71+D76+D81+D83+D88+D94</f>
        <v>5959.1862799999999</v>
      </c>
      <c r="E98" s="34">
        <f t="shared" si="3"/>
        <v>96.936813866822973</v>
      </c>
      <c r="F98" s="34">
        <f t="shared" si="4"/>
        <v>-188.30922999999984</v>
      </c>
    </row>
    <row r="99" spans="1:6" ht="20.25" customHeight="1">
      <c r="C99" s="344"/>
      <c r="D99" s="345"/>
    </row>
    <row r="100" spans="1:6" s="65" customFormat="1" ht="13.5" customHeight="1">
      <c r="A100" s="63" t="s">
        <v>120</v>
      </c>
      <c r="B100" s="63"/>
      <c r="C100" s="64"/>
      <c r="D100" s="64"/>
    </row>
    <row r="101" spans="1:6" s="65" customFormat="1" ht="12.75">
      <c r="A101" s="66" t="s">
        <v>121</v>
      </c>
      <c r="B101" s="66"/>
      <c r="C101" s="134" t="s">
        <v>122</v>
      </c>
      <c r="D101" s="134"/>
    </row>
    <row r="102" spans="1:6" ht="5.25" customHeight="1"/>
  </sheetData>
  <customSheetViews>
    <customSheetView guid="{487FB2A4-0730-401E-81DB-8304F8599D85}" hiddenRows="1" topLeftCell="A43">
      <selection activeCell="B100" sqref="B100"/>
      <pageMargins left="0.7" right="0.7" top="0.75" bottom="0.75" header="0.3" footer="0.3"/>
      <pageSetup paperSize="9" scale="57" orientation="portrait" r:id="rId1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3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4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5"/>
    </customSheetView>
    <customSheetView guid="{B30CE22D-C12F-4E12-8BB9-3AAE0A6991CC}" scale="70" showPageBreaks="1" hiddenRows="1" view="pageBreakPreview" topLeftCell="A13">
      <selection activeCell="C39" sqref="C39:D39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hiddenRows="1" topLeftCell="A43">
      <selection activeCell="B100" sqref="B100"/>
      <pageMargins left="0.7" right="0.7" top="0.75" bottom="0.75" header="0.3" footer="0.3"/>
      <pageSetup paperSize="9" scale="57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7" orientation="portrait" r:id="rId8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02"/>
  <sheetViews>
    <sheetView topLeftCell="A10" zoomScaleNormal="100" zoomScaleSheetLayoutView="70" workbookViewId="0">
      <selection activeCell="C35" sqref="C35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6" t="s">
        <v>426</v>
      </c>
      <c r="B1" s="516"/>
      <c r="C1" s="516"/>
      <c r="D1" s="516"/>
      <c r="E1" s="516"/>
      <c r="F1" s="516"/>
    </row>
    <row r="2" spans="1:6">
      <c r="A2" s="516"/>
      <c r="B2" s="516"/>
      <c r="C2" s="516"/>
      <c r="D2" s="516"/>
      <c r="E2" s="516"/>
      <c r="F2" s="516"/>
    </row>
    <row r="3" spans="1:6" ht="63">
      <c r="A3" s="2" t="s">
        <v>1</v>
      </c>
      <c r="B3" s="2" t="s">
        <v>2</v>
      </c>
      <c r="C3" s="72" t="s">
        <v>346</v>
      </c>
      <c r="D3" s="73" t="s">
        <v>419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1739</v>
      </c>
      <c r="D4" s="5">
        <f>D5+D12+D14+D17+D7+D20</f>
        <v>1798.3968700000005</v>
      </c>
      <c r="E4" s="5">
        <f>SUM(D4/C4*100)</f>
        <v>103.41557619321451</v>
      </c>
      <c r="F4" s="5">
        <f>SUM(D4-C4)</f>
        <v>59.39687000000049</v>
      </c>
    </row>
    <row r="5" spans="1:6" s="6" customFormat="1">
      <c r="A5" s="68">
        <v>1010000000</v>
      </c>
      <c r="B5" s="67" t="s">
        <v>6</v>
      </c>
      <c r="C5" s="5">
        <f>C6</f>
        <v>108.1</v>
      </c>
      <c r="D5" s="5">
        <f>D6</f>
        <v>124.8021</v>
      </c>
      <c r="E5" s="5">
        <f t="shared" ref="E5:E51" si="0">SUM(D5/C5*100)</f>
        <v>115.45060129509714</v>
      </c>
      <c r="F5" s="5">
        <f t="shared" ref="F5:F51" si="1">SUM(D5-C5)</f>
        <v>16.702100000000002</v>
      </c>
    </row>
    <row r="6" spans="1:6">
      <c r="A6" s="7">
        <v>1010200001</v>
      </c>
      <c r="B6" s="8" t="s">
        <v>229</v>
      </c>
      <c r="C6" s="9">
        <v>108.1</v>
      </c>
      <c r="D6" s="10">
        <v>124.8021</v>
      </c>
      <c r="E6" s="9">
        <f t="shared" ref="E6:E11" si="2">SUM(D6/C6*100)</f>
        <v>115.45060129509714</v>
      </c>
      <c r="F6" s="9">
        <f t="shared" si="1"/>
        <v>16.702100000000002</v>
      </c>
    </row>
    <row r="7" spans="1:6" ht="31.5">
      <c r="A7" s="3">
        <v>1030000000</v>
      </c>
      <c r="B7" s="13" t="s">
        <v>281</v>
      </c>
      <c r="C7" s="5">
        <f>C8+C10+C9</f>
        <v>520.9</v>
      </c>
      <c r="D7" s="5">
        <f>D8+D10+D9+D11</f>
        <v>554.34061000000008</v>
      </c>
      <c r="E7" s="9">
        <f t="shared" si="2"/>
        <v>106.41977538875027</v>
      </c>
      <c r="F7" s="9">
        <f t="shared" si="1"/>
        <v>33.440610000000106</v>
      </c>
    </row>
    <row r="8" spans="1:6">
      <c r="A8" s="7">
        <v>1030223001</v>
      </c>
      <c r="B8" s="8" t="s">
        <v>283</v>
      </c>
      <c r="C8" s="9">
        <v>194.3</v>
      </c>
      <c r="D8" s="10">
        <v>246.99495999999999</v>
      </c>
      <c r="E8" s="9">
        <f t="shared" si="2"/>
        <v>127.12041173443127</v>
      </c>
      <c r="F8" s="9">
        <f t="shared" si="1"/>
        <v>52.69495999999998</v>
      </c>
    </row>
    <row r="9" spans="1:6">
      <c r="A9" s="7">
        <v>1030224001</v>
      </c>
      <c r="B9" s="8" t="s">
        <v>289</v>
      </c>
      <c r="C9" s="9">
        <v>2.1</v>
      </c>
      <c r="D9" s="10">
        <v>2.3787199999999999</v>
      </c>
      <c r="E9" s="9">
        <f t="shared" si="2"/>
        <v>113.27238095238094</v>
      </c>
      <c r="F9" s="9">
        <f t="shared" si="1"/>
        <v>0.27871999999999986</v>
      </c>
    </row>
    <row r="10" spans="1:6">
      <c r="A10" s="7">
        <v>1030225001</v>
      </c>
      <c r="B10" s="8" t="s">
        <v>282</v>
      </c>
      <c r="C10" s="9">
        <v>324.5</v>
      </c>
      <c r="D10" s="10">
        <v>360.30781000000002</v>
      </c>
      <c r="E10" s="9">
        <f t="shared" si="2"/>
        <v>111.03476425269648</v>
      </c>
      <c r="F10" s="9">
        <f t="shared" si="1"/>
        <v>35.807810000000018</v>
      </c>
    </row>
    <row r="11" spans="1:6">
      <c r="A11" s="7">
        <v>1030226001</v>
      </c>
      <c r="B11" s="8" t="s">
        <v>291</v>
      </c>
      <c r="C11" s="9">
        <v>0</v>
      </c>
      <c r="D11" s="10">
        <v>-55.340879999999999</v>
      </c>
      <c r="E11" s="9" t="e">
        <f t="shared" si="2"/>
        <v>#DIV/0!</v>
      </c>
      <c r="F11" s="9">
        <f t="shared" si="1"/>
        <v>-55.340879999999999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D13</f>
        <v>43.00244</v>
      </c>
      <c r="E12" s="5">
        <f t="shared" si="0"/>
        <v>107.5061</v>
      </c>
      <c r="F12" s="5">
        <f t="shared" si="1"/>
        <v>3.00244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43.00244</v>
      </c>
      <c r="E13" s="9">
        <f t="shared" si="0"/>
        <v>107.5061</v>
      </c>
      <c r="F13" s="9">
        <f t="shared" si="1"/>
        <v>3.00244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1060</v>
      </c>
      <c r="D14" s="5">
        <f>D15+D16</f>
        <v>1069.1017200000001</v>
      </c>
      <c r="E14" s="5">
        <f t="shared" si="0"/>
        <v>100.85865283018869</v>
      </c>
      <c r="F14" s="5">
        <f t="shared" si="1"/>
        <v>9.1017200000001139</v>
      </c>
    </row>
    <row r="15" spans="1:6" s="6" customFormat="1" ht="15.75" customHeight="1">
      <c r="A15" s="7">
        <v>1060100000</v>
      </c>
      <c r="B15" s="11" t="s">
        <v>9</v>
      </c>
      <c r="C15" s="9">
        <v>130</v>
      </c>
      <c r="D15" s="10">
        <v>132.36446000000001</v>
      </c>
      <c r="E15" s="9">
        <f t="shared" si="0"/>
        <v>101.81881538461539</v>
      </c>
      <c r="F15" s="9">
        <f>SUM(D15-C15)</f>
        <v>2.3644600000000082</v>
      </c>
    </row>
    <row r="16" spans="1:6" ht="15.75" customHeight="1">
      <c r="A16" s="7">
        <v>1060600000</v>
      </c>
      <c r="B16" s="11" t="s">
        <v>8</v>
      </c>
      <c r="C16" s="9">
        <v>930</v>
      </c>
      <c r="D16" s="10">
        <v>936.73725999999999</v>
      </c>
      <c r="E16" s="9">
        <f t="shared" si="0"/>
        <v>100.72443655913979</v>
      </c>
      <c r="F16" s="9">
        <f t="shared" si="1"/>
        <v>6.737259999999992</v>
      </c>
    </row>
    <row r="17" spans="1:6" s="6" customFormat="1">
      <c r="A17" s="3">
        <v>1080000000</v>
      </c>
      <c r="B17" s="4" t="s">
        <v>11</v>
      </c>
      <c r="C17" s="5">
        <f>C18+C19</f>
        <v>10</v>
      </c>
      <c r="D17" s="5">
        <f>D18+D19</f>
        <v>7.15</v>
      </c>
      <c r="E17" s="5">
        <f t="shared" si="0"/>
        <v>71.500000000000014</v>
      </c>
      <c r="F17" s="5">
        <f t="shared" si="1"/>
        <v>-2.8499999999999996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7.15</v>
      </c>
      <c r="E18" s="9">
        <f t="shared" si="0"/>
        <v>71.500000000000014</v>
      </c>
      <c r="F18" s="9">
        <f t="shared" si="1"/>
        <v>-2.8499999999999996</v>
      </c>
    </row>
    <row r="19" spans="1:6" ht="36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customHeight="1">
      <c r="A24" s="3">
        <v>1090700000</v>
      </c>
      <c r="B24" s="13" t="s">
        <v>128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C26+C29+C31+C36+C34</f>
        <v>169.9539</v>
      </c>
      <c r="D25" s="5">
        <f>D26+D29+D31+D36+D34</f>
        <v>153.572</v>
      </c>
      <c r="E25" s="5">
        <f t="shared" si="0"/>
        <v>90.360974358340712</v>
      </c>
      <c r="F25" s="5">
        <f t="shared" si="1"/>
        <v>-16.381900000000002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166</v>
      </c>
      <c r="D26" s="376">
        <f>D27+D28</f>
        <v>241.56376</v>
      </c>
      <c r="E26" s="5">
        <f t="shared" si="0"/>
        <v>145.52033734939761</v>
      </c>
      <c r="F26" s="5">
        <f t="shared" si="1"/>
        <v>75.563760000000002</v>
      </c>
    </row>
    <row r="27" spans="1:6">
      <c r="A27" s="16">
        <v>1110502510</v>
      </c>
      <c r="B27" s="17" t="s">
        <v>226</v>
      </c>
      <c r="C27" s="12">
        <v>160</v>
      </c>
      <c r="D27" s="10">
        <v>234.79</v>
      </c>
      <c r="E27" s="9">
        <f t="shared" si="0"/>
        <v>146.74375000000001</v>
      </c>
      <c r="F27" s="9">
        <f t="shared" si="1"/>
        <v>74.789999999999992</v>
      </c>
    </row>
    <row r="28" spans="1:6" ht="18" customHeight="1">
      <c r="A28" s="7">
        <v>1110503510</v>
      </c>
      <c r="B28" s="11" t="s">
        <v>225</v>
      </c>
      <c r="C28" s="12">
        <v>6</v>
      </c>
      <c r="D28" s="10">
        <v>6.7737600000000002</v>
      </c>
      <c r="E28" s="9">
        <f t="shared" si="0"/>
        <v>112.896</v>
      </c>
      <c r="F28" s="9">
        <f t="shared" si="1"/>
        <v>0.77376000000000023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3.0543399999999998</v>
      </c>
      <c r="E29" s="5" t="e">
        <f t="shared" si="0"/>
        <v>#DIV/0!</v>
      </c>
      <c r="F29" s="5">
        <f t="shared" si="1"/>
        <v>3.0543399999999998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3.0543399999999998</v>
      </c>
      <c r="E30" s="9" t="e">
        <f t="shared" si="0"/>
        <v>#DIV/0!</v>
      </c>
      <c r="F30" s="9">
        <f t="shared" si="1"/>
        <v>3.0543399999999998</v>
      </c>
    </row>
    <row r="31" spans="1:6" ht="28.5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252</v>
      </c>
      <c r="C34" s="5">
        <f>C35</f>
        <v>3.9539</v>
      </c>
      <c r="D34" s="5">
        <f>D35</f>
        <v>3.9539</v>
      </c>
      <c r="E34" s="9">
        <f>SUM(D34/C34*100)</f>
        <v>100</v>
      </c>
      <c r="F34" s="9">
        <f>SUM(D34-C34)</f>
        <v>0</v>
      </c>
    </row>
    <row r="35" spans="1:7" ht="29.25" customHeight="1">
      <c r="A35" s="7">
        <v>1163305010</v>
      </c>
      <c r="B35" s="8" t="s">
        <v>268</v>
      </c>
      <c r="C35" s="9">
        <v>3.9539</v>
      </c>
      <c r="D35" s="10">
        <v>3.9539</v>
      </c>
      <c r="E35" s="9">
        <f>SUM(D35/C35*100)</f>
        <v>100</v>
      </c>
      <c r="F35" s="9">
        <f>SUM(D35-C35)</f>
        <v>0</v>
      </c>
    </row>
    <row r="36" spans="1:7" ht="17.25" customHeight="1">
      <c r="A36" s="3">
        <v>1170000000</v>
      </c>
      <c r="B36" s="13" t="s">
        <v>135</v>
      </c>
      <c r="C36" s="5">
        <f>C37+C38</f>
        <v>0</v>
      </c>
      <c r="D36" s="5">
        <f>D37+D38</f>
        <v>-95</v>
      </c>
      <c r="E36" s="5" t="e">
        <f t="shared" si="0"/>
        <v>#DIV/0!</v>
      </c>
      <c r="F36" s="5">
        <f t="shared" si="1"/>
        <v>-95</v>
      </c>
    </row>
    <row r="37" spans="1:7" ht="17.25" customHeight="1">
      <c r="A37" s="7">
        <v>1170105005</v>
      </c>
      <c r="B37" s="8" t="s">
        <v>18</v>
      </c>
      <c r="C37" s="9">
        <f>C38</f>
        <v>0</v>
      </c>
      <c r="D37" s="9">
        <v>-95</v>
      </c>
      <c r="E37" s="9" t="e">
        <f t="shared" si="0"/>
        <v>#DIV/0!</v>
      </c>
      <c r="F37" s="9">
        <f t="shared" si="1"/>
        <v>-95</v>
      </c>
    </row>
    <row r="38" spans="1:7" ht="19.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1908.9539</v>
      </c>
      <c r="D39" s="127">
        <f>SUM(D4,D25)</f>
        <v>1951.9688700000006</v>
      </c>
      <c r="E39" s="5">
        <f t="shared" si="0"/>
        <v>102.25332680899213</v>
      </c>
      <c r="F39" s="5">
        <f t="shared" si="1"/>
        <v>43.014970000000631</v>
      </c>
    </row>
    <row r="40" spans="1:7" s="6" customFormat="1">
      <c r="A40" s="3">
        <v>2000000000</v>
      </c>
      <c r="B40" s="4" t="s">
        <v>20</v>
      </c>
      <c r="C40" s="343">
        <f>C41+C42+C43+C44+C48+C49</f>
        <v>4571.5436599999994</v>
      </c>
      <c r="D40" s="343">
        <f>D41+D42+D43+D44+D48+D49+D50</f>
        <v>4465.2622299999994</v>
      </c>
      <c r="E40" s="5">
        <f t="shared" si="0"/>
        <v>97.675152248245183</v>
      </c>
      <c r="F40" s="5">
        <f t="shared" si="1"/>
        <v>-106.28143</v>
      </c>
      <c r="G40" s="19"/>
    </row>
    <row r="41" spans="1:7">
      <c r="A41" s="16">
        <v>2021000000</v>
      </c>
      <c r="B41" s="17" t="s">
        <v>21</v>
      </c>
      <c r="C41" s="12">
        <v>2768.8539999999998</v>
      </c>
      <c r="D41" s="20">
        <v>2768.8539999999998</v>
      </c>
      <c r="E41" s="9">
        <f t="shared" si="0"/>
        <v>100</v>
      </c>
      <c r="F41" s="9">
        <f t="shared" si="1"/>
        <v>0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1338.21866</v>
      </c>
      <c r="D43" s="10">
        <v>1338.21866</v>
      </c>
      <c r="E43" s="9">
        <f t="shared" si="0"/>
        <v>100</v>
      </c>
      <c r="F43" s="9">
        <f t="shared" si="1"/>
        <v>0</v>
      </c>
    </row>
    <row r="44" spans="1:7" ht="18" customHeight="1">
      <c r="A44" s="16">
        <v>2023000000</v>
      </c>
      <c r="B44" s="17" t="s">
        <v>23</v>
      </c>
      <c r="C44" s="12">
        <v>177.46700000000001</v>
      </c>
      <c r="D44" s="251">
        <v>177.46700000000001</v>
      </c>
      <c r="E44" s="9">
        <f t="shared" si="0"/>
        <v>100</v>
      </c>
      <c r="F44" s="9">
        <f t="shared" si="1"/>
        <v>0</v>
      </c>
    </row>
    <row r="45" spans="1:7" ht="0.75" hidden="1" customHeight="1">
      <c r="A45" s="16">
        <v>2020400000</v>
      </c>
      <c r="B45" s="17" t="s">
        <v>24</v>
      </c>
      <c r="C45" s="12"/>
      <c r="D45" s="252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25</v>
      </c>
      <c r="C46" s="12"/>
      <c r="D46" s="252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26</v>
      </c>
      <c r="C47" s="14"/>
      <c r="D47" s="14"/>
      <c r="E47" s="5"/>
      <c r="F47" s="5">
        <f>SUM(D47-C47)</f>
        <v>0</v>
      </c>
    </row>
    <row r="48" spans="1:7" s="6" customFormat="1" ht="18.75" customHeight="1">
      <c r="A48" s="7">
        <v>2020400000</v>
      </c>
      <c r="B48" s="8" t="s">
        <v>24</v>
      </c>
      <c r="C48" s="12">
        <v>0</v>
      </c>
      <c r="D48" s="10">
        <v>0</v>
      </c>
      <c r="E48" s="9" t="e">
        <f t="shared" si="0"/>
        <v>#DIV/0!</v>
      </c>
      <c r="F48" s="9">
        <f t="shared" si="1"/>
        <v>0</v>
      </c>
    </row>
    <row r="49" spans="1:7" s="6" customFormat="1" ht="18.75" customHeight="1">
      <c r="A49" s="7">
        <v>2070500010</v>
      </c>
      <c r="B49" s="8" t="s">
        <v>355</v>
      </c>
      <c r="C49" s="12">
        <v>287.00400000000002</v>
      </c>
      <c r="D49" s="10">
        <v>287.00457</v>
      </c>
      <c r="E49" s="9">
        <f>SUM(D49/C49*100)</f>
        <v>100.00019860350378</v>
      </c>
      <c r="F49" s="9">
        <f>SUM(D49-C49)</f>
        <v>5.6999999998197382E-4</v>
      </c>
    </row>
    <row r="50" spans="1:7" s="6" customFormat="1" ht="18.75" customHeight="1">
      <c r="A50" s="7">
        <v>2190500005</v>
      </c>
      <c r="B50" s="11" t="s">
        <v>26</v>
      </c>
      <c r="C50" s="12">
        <v>0</v>
      </c>
      <c r="D50" s="10">
        <v>-106.282</v>
      </c>
      <c r="E50" s="9"/>
      <c r="F50" s="9"/>
    </row>
    <row r="51" spans="1:7" s="6" customFormat="1" ht="19.5" customHeight="1">
      <c r="A51" s="3"/>
      <c r="B51" s="4" t="s">
        <v>28</v>
      </c>
      <c r="C51" s="373">
        <f>C39+C40</f>
        <v>6480.4975599999998</v>
      </c>
      <c r="D51" s="373">
        <f>SUM(D39,D40,)</f>
        <v>6417.2311</v>
      </c>
      <c r="E51" s="5">
        <f t="shared" si="0"/>
        <v>99.023740701786494</v>
      </c>
      <c r="F51" s="5">
        <f t="shared" si="1"/>
        <v>-63.266459999999825</v>
      </c>
      <c r="G51" s="293"/>
    </row>
    <row r="52" spans="1:7" s="6" customFormat="1">
      <c r="A52" s="3"/>
      <c r="B52" s="21" t="s">
        <v>321</v>
      </c>
      <c r="C52" s="373">
        <f>C51-C97</f>
        <v>-449.50602000000072</v>
      </c>
      <c r="D52" s="373">
        <f>D51-D97</f>
        <v>-323.99535999999989</v>
      </c>
      <c r="E52" s="22"/>
      <c r="F52" s="22"/>
    </row>
    <row r="53" spans="1:7">
      <c r="A53" s="23"/>
      <c r="B53" s="24"/>
      <c r="C53" s="250"/>
      <c r="D53" s="250"/>
      <c r="E53" s="26"/>
      <c r="F53" s="92"/>
    </row>
    <row r="54" spans="1:7" ht="60" customHeight="1">
      <c r="A54" s="28" t="s">
        <v>1</v>
      </c>
      <c r="B54" s="28" t="s">
        <v>29</v>
      </c>
      <c r="C54" s="243" t="s">
        <v>346</v>
      </c>
      <c r="D54" s="244" t="s">
        <v>415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32">
        <f>C57+C58+C59+C60+C61+C63+C62</f>
        <v>1497.904</v>
      </c>
      <c r="D56" s="246">
        <f>D57+D58+D59+D60+D61+D63+D62</f>
        <v>1456.3984599999999</v>
      </c>
      <c r="E56" s="34">
        <f>SUM(D56/C56*100)</f>
        <v>97.229092118052947</v>
      </c>
      <c r="F56" s="34">
        <f>SUM(D56-C56)</f>
        <v>-41.50554000000011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1437.855</v>
      </c>
      <c r="D58" s="37">
        <v>1416.3594599999999</v>
      </c>
      <c r="E58" s="38">
        <f t="shared" ref="E58:E97" si="3">SUM(D58/C58*100)</f>
        <v>98.50502728021948</v>
      </c>
      <c r="F58" s="38">
        <f t="shared" ref="F58:F97" si="4">SUM(D58-C58)</f>
        <v>-21.495540000000119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37">
        <v>19.635999999999999</v>
      </c>
      <c r="D61" s="37">
        <v>19.635999999999999</v>
      </c>
      <c r="E61" s="38">
        <f t="shared" si="3"/>
        <v>100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20.010000000000002</v>
      </c>
      <c r="D62" s="40">
        <v>0</v>
      </c>
      <c r="E62" s="38">
        <f t="shared" si="3"/>
        <v>0</v>
      </c>
      <c r="F62" s="38">
        <f t="shared" si="4"/>
        <v>-20.010000000000002</v>
      </c>
    </row>
    <row r="63" spans="1:7" ht="18.75" customHeight="1">
      <c r="A63" s="35" t="s">
        <v>44</v>
      </c>
      <c r="B63" s="39" t="s">
        <v>45</v>
      </c>
      <c r="C63" s="37">
        <v>20.402999999999999</v>
      </c>
      <c r="D63" s="37">
        <v>20.402999999999999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2">
        <f>C65</f>
        <v>170.749</v>
      </c>
      <c r="D64" s="32">
        <f>D65</f>
        <v>170.749</v>
      </c>
      <c r="E64" s="34">
        <f t="shared" si="3"/>
        <v>100</v>
      </c>
      <c r="F64" s="34">
        <f t="shared" si="4"/>
        <v>0</v>
      </c>
    </row>
    <row r="65" spans="1:7">
      <c r="A65" s="43" t="s">
        <v>48</v>
      </c>
      <c r="B65" s="44" t="s">
        <v>49</v>
      </c>
      <c r="C65" s="37">
        <v>170.749</v>
      </c>
      <c r="D65" s="37">
        <v>170.749</v>
      </c>
      <c r="E65" s="38">
        <f t="shared" si="3"/>
        <v>100</v>
      </c>
      <c r="F65" s="38">
        <f t="shared" si="4"/>
        <v>0</v>
      </c>
    </row>
    <row r="66" spans="1:7" s="6" customFormat="1" ht="18" customHeight="1">
      <c r="A66" s="30" t="s">
        <v>50</v>
      </c>
      <c r="B66" s="31" t="s">
        <v>51</v>
      </c>
      <c r="C66" s="32">
        <f>C69+C70</f>
        <v>1.46</v>
      </c>
      <c r="D66" s="32">
        <f>D69+D70</f>
        <v>0</v>
      </c>
      <c r="E66" s="34">
        <f t="shared" si="3"/>
        <v>0</v>
      </c>
      <c r="F66" s="34">
        <f t="shared" si="4"/>
        <v>-1.46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0</v>
      </c>
      <c r="D69" s="37">
        <v>0</v>
      </c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219</v>
      </c>
      <c r="B70" s="47" t="s">
        <v>220</v>
      </c>
      <c r="C70" s="37">
        <v>1.46</v>
      </c>
      <c r="D70" s="37">
        <v>0</v>
      </c>
      <c r="E70" s="34">
        <f t="shared" si="3"/>
        <v>0</v>
      </c>
      <c r="F70" s="34">
        <f t="shared" si="4"/>
        <v>-1.46</v>
      </c>
    </row>
    <row r="71" spans="1:7" s="6" customFormat="1" ht="16.5" customHeight="1">
      <c r="A71" s="30" t="s">
        <v>58</v>
      </c>
      <c r="B71" s="31" t="s">
        <v>59</v>
      </c>
      <c r="C71" s="48">
        <f>C72+C73+C74+C75</f>
        <v>2291.5081600000003</v>
      </c>
      <c r="D71" s="48">
        <f>SUM(D72:D75)</f>
        <v>2211.4493700000003</v>
      </c>
      <c r="E71" s="34">
        <f t="shared" si="3"/>
        <v>96.506283878997834</v>
      </c>
      <c r="F71" s="34">
        <f t="shared" si="4"/>
        <v>-80.058790000000045</v>
      </c>
    </row>
    <row r="72" spans="1:7" ht="15" customHeight="1">
      <c r="A72" s="35" t="s">
        <v>60</v>
      </c>
      <c r="B72" s="39" t="s">
        <v>61</v>
      </c>
      <c r="C72" s="49">
        <v>16.25</v>
      </c>
      <c r="D72" s="37">
        <v>16.25</v>
      </c>
      <c r="E72" s="38">
        <f t="shared" si="3"/>
        <v>100</v>
      </c>
      <c r="F72" s="38">
        <f t="shared" si="4"/>
        <v>0</v>
      </c>
    </row>
    <row r="73" spans="1:7" s="6" customFormat="1" ht="15" customHeight="1">
      <c r="A73" s="35" t="s">
        <v>62</v>
      </c>
      <c r="B73" s="39" t="s">
        <v>63</v>
      </c>
      <c r="C73" s="49">
        <v>127.56793999999999</v>
      </c>
      <c r="D73" s="37">
        <v>107.00961</v>
      </c>
      <c r="E73" s="38">
        <f t="shared" si="3"/>
        <v>83.884407006964295</v>
      </c>
      <c r="F73" s="38">
        <f t="shared" si="4"/>
        <v>-20.558329999999998</v>
      </c>
      <c r="G73" s="50"/>
    </row>
    <row r="74" spans="1:7">
      <c r="A74" s="35" t="s">
        <v>64</v>
      </c>
      <c r="B74" s="39" t="s">
        <v>65</v>
      </c>
      <c r="C74" s="49">
        <v>1907.59158</v>
      </c>
      <c r="D74" s="37">
        <v>1907.59112</v>
      </c>
      <c r="E74" s="38">
        <f t="shared" si="3"/>
        <v>99.999975885823517</v>
      </c>
      <c r="F74" s="38">
        <f t="shared" si="4"/>
        <v>-4.5999999997548002E-4</v>
      </c>
    </row>
    <row r="75" spans="1:7">
      <c r="A75" s="35" t="s">
        <v>66</v>
      </c>
      <c r="B75" s="39" t="s">
        <v>67</v>
      </c>
      <c r="C75" s="49">
        <v>240.09863999999999</v>
      </c>
      <c r="D75" s="37">
        <v>180.59863999999999</v>
      </c>
      <c r="E75" s="38">
        <f t="shared" si="3"/>
        <v>75.218518522220705</v>
      </c>
      <c r="F75" s="38">
        <f t="shared" si="4"/>
        <v>-59.5</v>
      </c>
    </row>
    <row r="76" spans="1:7" s="6" customFormat="1" ht="18" customHeight="1">
      <c r="A76" s="30" t="s">
        <v>68</v>
      </c>
      <c r="B76" s="31" t="s">
        <v>69</v>
      </c>
      <c r="C76" s="32">
        <f>SUM(C77:C79)</f>
        <v>831.53242</v>
      </c>
      <c r="D76" s="32">
        <f>SUM(D77:D79)</f>
        <v>789.07821000000001</v>
      </c>
      <c r="E76" s="34">
        <f t="shared" si="3"/>
        <v>94.894461240609246</v>
      </c>
      <c r="F76" s="34">
        <f t="shared" si="4"/>
        <v>-42.454209999999989</v>
      </c>
    </row>
    <row r="77" spans="1:7" ht="14.25" customHeight="1">
      <c r="A77" s="35" t="s">
        <v>70</v>
      </c>
      <c r="B77" s="51" t="s">
        <v>71</v>
      </c>
      <c r="C77" s="37">
        <v>0</v>
      </c>
      <c r="D77" s="37">
        <v>0</v>
      </c>
      <c r="E77" s="34" t="e">
        <f t="shared" si="3"/>
        <v>#DIV/0!</v>
      </c>
      <c r="F77" s="34">
        <f t="shared" si="4"/>
        <v>0</v>
      </c>
    </row>
    <row r="78" spans="1:7" ht="18.75" customHeight="1">
      <c r="A78" s="35" t="s">
        <v>72</v>
      </c>
      <c r="B78" s="51" t="s">
        <v>73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>
      <c r="A79" s="35" t="s">
        <v>74</v>
      </c>
      <c r="B79" s="39" t="s">
        <v>75</v>
      </c>
      <c r="C79" s="37">
        <v>831.53242</v>
      </c>
      <c r="D79" s="37">
        <v>789.07821000000001</v>
      </c>
      <c r="E79" s="38">
        <f t="shared" si="3"/>
        <v>94.894461240609246</v>
      </c>
      <c r="F79" s="38">
        <f t="shared" si="4"/>
        <v>-42.454209999999989</v>
      </c>
    </row>
    <row r="80" spans="1:7" s="6" customFormat="1">
      <c r="A80" s="30" t="s">
        <v>86</v>
      </c>
      <c r="B80" s="31" t="s">
        <v>87</v>
      </c>
      <c r="C80" s="32">
        <f>C81</f>
        <v>2099.85</v>
      </c>
      <c r="D80" s="32">
        <f>D81</f>
        <v>2078.2454200000002</v>
      </c>
      <c r="E80" s="34">
        <f>SUM(D80/C80*100)</f>
        <v>98.971136985975207</v>
      </c>
      <c r="F80" s="34">
        <f t="shared" si="4"/>
        <v>-21.604579999999714</v>
      </c>
    </row>
    <row r="81" spans="1:6" ht="15.75" customHeight="1">
      <c r="A81" s="35" t="s">
        <v>88</v>
      </c>
      <c r="B81" s="39" t="s">
        <v>234</v>
      </c>
      <c r="C81" s="37">
        <f>2099.85</f>
        <v>2099.85</v>
      </c>
      <c r="D81" s="37">
        <v>2078.2454200000002</v>
      </c>
      <c r="E81" s="38">
        <f>SUM(D81/C81*100)</f>
        <v>98.971136985975207</v>
      </c>
      <c r="F81" s="38">
        <f t="shared" si="4"/>
        <v>-21.604579999999714</v>
      </c>
    </row>
    <row r="82" spans="1:6" s="6" customFormat="1" ht="1.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7.25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5.7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17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37</v>
      </c>
      <c r="D87" s="32">
        <f>D88+D89+D90+D91+D92</f>
        <v>35.305999999999997</v>
      </c>
      <c r="E87" s="38">
        <f t="shared" si="3"/>
        <v>95.421621621621611</v>
      </c>
      <c r="F87" s="22">
        <f>F88+F89+F90+F91+F92</f>
        <v>-1.6940000000000026</v>
      </c>
    </row>
    <row r="88" spans="1:6" ht="18.75" customHeight="1">
      <c r="A88" s="35" t="s">
        <v>97</v>
      </c>
      <c r="B88" s="39" t="s">
        <v>98</v>
      </c>
      <c r="C88" s="37">
        <v>37</v>
      </c>
      <c r="D88" s="37">
        <v>35.305999999999997</v>
      </c>
      <c r="E88" s="38">
        <f t="shared" si="3"/>
        <v>95.421621621621611</v>
      </c>
      <c r="F88" s="38">
        <f>SUM(D88-C88)</f>
        <v>-1.6940000000000026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/>
      <c r="E90" s="38" t="e">
        <f t="shared" si="3"/>
        <v>#DIV/0!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6.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0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9.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s="6" customFormat="1" ht="15.75" customHeight="1">
      <c r="A97" s="52"/>
      <c r="B97" s="57" t="s">
        <v>119</v>
      </c>
      <c r="C97" s="377">
        <f>C56+C64+C66+C71+C76+C80+C82+C87+C93</f>
        <v>6930.0035800000005</v>
      </c>
      <c r="D97" s="377">
        <f>D56+D64+D66+D71+D76+D80+D82+D87+D93</f>
        <v>6741.2264599999999</v>
      </c>
      <c r="E97" s="34">
        <f t="shared" si="3"/>
        <v>97.275944841575381</v>
      </c>
      <c r="F97" s="34">
        <f t="shared" si="4"/>
        <v>-188.77712000000065</v>
      </c>
      <c r="G97" s="293"/>
    </row>
    <row r="98" spans="1:7" ht="0.75" customHeight="1">
      <c r="C98" s="126"/>
      <c r="D98" s="101"/>
    </row>
    <row r="99" spans="1:7" s="65" customFormat="1" ht="16.5" customHeight="1">
      <c r="A99" s="63" t="s">
        <v>120</v>
      </c>
      <c r="B99" s="63"/>
      <c r="C99" s="249"/>
      <c r="D99" s="249"/>
    </row>
    <row r="100" spans="1:7" s="65" customFormat="1" ht="20.25" customHeight="1">
      <c r="A100" s="66" t="s">
        <v>121</v>
      </c>
      <c r="B100" s="66"/>
      <c r="C100" s="65" t="s">
        <v>122</v>
      </c>
    </row>
    <row r="101" spans="1:7" ht="13.5" customHeight="1">
      <c r="C101" s="120"/>
    </row>
    <row r="102" spans="1:7" ht="5.25" customHeight="1"/>
  </sheetData>
  <customSheetViews>
    <customSheetView guid="{487FB2A4-0730-401E-81DB-8304F8599D85}" hiddenRows="1" topLeftCell="A10">
      <selection activeCell="C35" sqref="C35"/>
      <pageMargins left="0.7" right="0.7" top="0.75" bottom="0.75" header="0.3" footer="0.3"/>
      <pageSetup paperSize="9" scale="49" orientation="portrait" r:id="rId1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3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4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5"/>
    </customSheetView>
    <customSheetView guid="{B30CE22D-C12F-4E12-8BB9-3AAE0A6991CC}" scale="70" showPageBreaks="1" hiddenRows="1" view="pageBreakPreview" topLeftCell="A18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9" orientation="portrait" r:id="rId8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03"/>
  <sheetViews>
    <sheetView topLeftCell="A20" zoomScaleNormal="100" zoomScaleSheetLayoutView="70" workbookViewId="0">
      <selection activeCell="C42" sqref="C42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16" t="s">
        <v>427</v>
      </c>
      <c r="B1" s="516"/>
      <c r="C1" s="516"/>
      <c r="D1" s="516"/>
      <c r="E1" s="516"/>
      <c r="F1" s="516"/>
    </row>
    <row r="2" spans="1:6">
      <c r="A2" s="516"/>
      <c r="B2" s="516"/>
      <c r="C2" s="516"/>
      <c r="D2" s="516"/>
      <c r="E2" s="516"/>
      <c r="F2" s="516"/>
    </row>
    <row r="3" spans="1:6" ht="63">
      <c r="A3" s="2" t="s">
        <v>1</v>
      </c>
      <c r="B3" s="2" t="s">
        <v>2</v>
      </c>
      <c r="C3" s="72" t="s">
        <v>346</v>
      </c>
      <c r="D3" s="73" t="s">
        <v>419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1483.5</v>
      </c>
      <c r="D4" s="5">
        <f>D5+D12+D14+D17+D20+D7</f>
        <v>1549.35022</v>
      </c>
      <c r="E4" s="5">
        <f>SUM(D4/C4*100)</f>
        <v>104.43884192787327</v>
      </c>
      <c r="F4" s="5">
        <f>SUM(D4-C4)</f>
        <v>65.850220000000036</v>
      </c>
    </row>
    <row r="5" spans="1:6" s="6" customFormat="1">
      <c r="A5" s="68">
        <v>1010000000</v>
      </c>
      <c r="B5" s="67" t="s">
        <v>6</v>
      </c>
      <c r="C5" s="5">
        <f>C6</f>
        <v>104.8</v>
      </c>
      <c r="D5" s="409">
        <f>D6</f>
        <v>107.5669</v>
      </c>
      <c r="E5" s="5">
        <f t="shared" ref="E5:E51" si="0">SUM(D5/C5*100)</f>
        <v>102.64017175572519</v>
      </c>
      <c r="F5" s="5">
        <f t="shared" ref="F5:F51" si="1">SUM(D5-C5)</f>
        <v>2.7669000000000068</v>
      </c>
    </row>
    <row r="6" spans="1:6">
      <c r="A6" s="7">
        <v>1010200001</v>
      </c>
      <c r="B6" s="8" t="s">
        <v>229</v>
      </c>
      <c r="C6" s="9">
        <v>104.8</v>
      </c>
      <c r="D6" s="10">
        <v>107.5669</v>
      </c>
      <c r="E6" s="9">
        <f t="shared" ref="E6:E11" si="2">SUM(D6/C6*100)</f>
        <v>102.64017175572519</v>
      </c>
      <c r="F6" s="9">
        <f t="shared" si="1"/>
        <v>2.7669000000000068</v>
      </c>
    </row>
    <row r="7" spans="1:6" ht="31.5">
      <c r="A7" s="3">
        <v>1030000000</v>
      </c>
      <c r="B7" s="13" t="s">
        <v>281</v>
      </c>
      <c r="C7" s="5">
        <f>C8+C10+C9</f>
        <v>723.69999999999993</v>
      </c>
      <c r="D7" s="343">
        <f>D8+D10+D9+D11</f>
        <v>770.16996000000006</v>
      </c>
      <c r="E7" s="5">
        <f t="shared" si="2"/>
        <v>106.42116346552442</v>
      </c>
      <c r="F7" s="5">
        <f t="shared" si="1"/>
        <v>46.469960000000128</v>
      </c>
    </row>
    <row r="8" spans="1:6">
      <c r="A8" s="7">
        <v>1030223001</v>
      </c>
      <c r="B8" s="8" t="s">
        <v>283</v>
      </c>
      <c r="C8" s="9">
        <v>269.94</v>
      </c>
      <c r="D8" s="10">
        <v>343.161</v>
      </c>
      <c r="E8" s="9">
        <f t="shared" si="2"/>
        <v>127.12491664814402</v>
      </c>
      <c r="F8" s="9">
        <f t="shared" si="1"/>
        <v>73.221000000000004</v>
      </c>
    </row>
    <row r="9" spans="1:6">
      <c r="A9" s="7">
        <v>1030224001</v>
      </c>
      <c r="B9" s="8" t="s">
        <v>289</v>
      </c>
      <c r="C9" s="9">
        <v>2.9</v>
      </c>
      <c r="D9" s="10">
        <v>3.3049200000000001</v>
      </c>
      <c r="E9" s="9">
        <f>SUM(D9/C9*100)</f>
        <v>113.96275862068966</v>
      </c>
      <c r="F9" s="9">
        <f t="shared" si="1"/>
        <v>0.40492000000000017</v>
      </c>
    </row>
    <row r="10" spans="1:6">
      <c r="A10" s="7">
        <v>1030225001</v>
      </c>
      <c r="B10" s="8" t="s">
        <v>282</v>
      </c>
      <c r="C10" s="9">
        <v>450.86</v>
      </c>
      <c r="D10" s="10">
        <v>500.59156999999999</v>
      </c>
      <c r="E10" s="9">
        <f t="shared" si="2"/>
        <v>111.0303797187597</v>
      </c>
      <c r="F10" s="9">
        <f t="shared" si="1"/>
        <v>49.731569999999977</v>
      </c>
    </row>
    <row r="11" spans="1:6">
      <c r="A11" s="7">
        <v>1030226001</v>
      </c>
      <c r="B11" s="8" t="s">
        <v>291</v>
      </c>
      <c r="C11" s="9">
        <v>0</v>
      </c>
      <c r="D11" s="10">
        <v>-76.887529999999998</v>
      </c>
      <c r="E11" s="9" t="e">
        <f t="shared" si="2"/>
        <v>#DIV/0!</v>
      </c>
      <c r="F11" s="9">
        <f t="shared" si="1"/>
        <v>-76.887529999999998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26.056799999999999</v>
      </c>
      <c r="E12" s="5">
        <f t="shared" si="0"/>
        <v>173.71199999999999</v>
      </c>
      <c r="F12" s="5">
        <f t="shared" si="1"/>
        <v>11.056799999999999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439">
        <v>26.056799999999999</v>
      </c>
      <c r="E13" s="9">
        <f t="shared" si="0"/>
        <v>173.71199999999999</v>
      </c>
      <c r="F13" s="9">
        <f t="shared" si="1"/>
        <v>11.056799999999999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630</v>
      </c>
      <c r="D14" s="343">
        <f>D15+D16</f>
        <v>638.40656000000001</v>
      </c>
      <c r="E14" s="5">
        <f t="shared" si="0"/>
        <v>101.33437460317461</v>
      </c>
      <c r="F14" s="5">
        <f t="shared" si="1"/>
        <v>8.4065600000000131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180.62952999999999</v>
      </c>
      <c r="E15" s="9">
        <f t="shared" si="0"/>
        <v>112.89345625</v>
      </c>
      <c r="F15" s="9">
        <f>SUM(D15-C15)</f>
        <v>20.629529999999988</v>
      </c>
    </row>
    <row r="16" spans="1:6" ht="15.75" customHeight="1">
      <c r="A16" s="7">
        <v>1060600000</v>
      </c>
      <c r="B16" s="11" t="s">
        <v>8</v>
      </c>
      <c r="C16" s="9">
        <v>470</v>
      </c>
      <c r="D16" s="10">
        <v>457.77703000000002</v>
      </c>
      <c r="E16" s="9">
        <f t="shared" si="0"/>
        <v>97.399368085106389</v>
      </c>
      <c r="F16" s="9">
        <f t="shared" si="1"/>
        <v>-12.222969999999975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391">
        <f>D18</f>
        <v>7.15</v>
      </c>
      <c r="E17" s="5">
        <f t="shared" si="0"/>
        <v>71.500000000000014</v>
      </c>
      <c r="F17" s="5">
        <f t="shared" si="1"/>
        <v>-2.8499999999999996</v>
      </c>
    </row>
    <row r="18" spans="1:6" ht="17.25" customHeight="1">
      <c r="A18" s="7">
        <v>1080400001</v>
      </c>
      <c r="B18" s="8" t="s">
        <v>228</v>
      </c>
      <c r="C18" s="9">
        <v>10</v>
      </c>
      <c r="D18" s="10">
        <v>7.15</v>
      </c>
      <c r="E18" s="9">
        <f t="shared" si="0"/>
        <v>71.500000000000014</v>
      </c>
      <c r="F18" s="9">
        <f t="shared" si="1"/>
        <v>-2.8499999999999996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customHeight="1">
      <c r="A24" s="7">
        <v>1090700000</v>
      </c>
      <c r="B24" s="8" t="s">
        <v>356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C26+C29+C32+C37</f>
        <v>390</v>
      </c>
      <c r="D25" s="5">
        <f>D26+D29+D32+D37+D35</f>
        <v>508.50556</v>
      </c>
      <c r="E25" s="5">
        <f t="shared" si="0"/>
        <v>130.38604102564102</v>
      </c>
      <c r="F25" s="5">
        <f t="shared" si="1"/>
        <v>118.50556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340</v>
      </c>
      <c r="D26" s="5">
        <f>D27+D28</f>
        <v>426.82875999999999</v>
      </c>
      <c r="E26" s="5">
        <f t="shared" si="0"/>
        <v>125.53787058823529</v>
      </c>
      <c r="F26" s="5">
        <f t="shared" si="1"/>
        <v>86.828759999999988</v>
      </c>
    </row>
    <row r="27" spans="1:6">
      <c r="A27" s="16">
        <v>1110502510</v>
      </c>
      <c r="B27" s="17" t="s">
        <v>226</v>
      </c>
      <c r="C27" s="12">
        <v>300</v>
      </c>
      <c r="D27" s="439">
        <v>349.78973999999999</v>
      </c>
      <c r="E27" s="9">
        <f t="shared" si="0"/>
        <v>116.59657999999999</v>
      </c>
      <c r="F27" s="9">
        <f t="shared" si="1"/>
        <v>49.789739999999995</v>
      </c>
    </row>
    <row r="28" spans="1:6" ht="18" customHeight="1">
      <c r="A28" s="7">
        <v>1110503505</v>
      </c>
      <c r="B28" s="11" t="s">
        <v>225</v>
      </c>
      <c r="C28" s="12">
        <v>40</v>
      </c>
      <c r="D28" s="439">
        <v>77.039019999999994</v>
      </c>
      <c r="E28" s="9">
        <f t="shared" si="0"/>
        <v>192.59754999999998</v>
      </c>
      <c r="F28" s="9">
        <f t="shared" si="1"/>
        <v>37.039019999999994</v>
      </c>
    </row>
    <row r="29" spans="1:6" s="15" customFormat="1" ht="18" customHeight="1">
      <c r="A29" s="68">
        <v>1130000000</v>
      </c>
      <c r="B29" s="69" t="s">
        <v>131</v>
      </c>
      <c r="C29" s="5">
        <f>C30+C31</f>
        <v>50</v>
      </c>
      <c r="D29" s="5">
        <f>D30+D31</f>
        <v>81.934429999999992</v>
      </c>
      <c r="E29" s="5">
        <f t="shared" si="0"/>
        <v>163.86885999999998</v>
      </c>
      <c r="F29" s="5">
        <f t="shared" si="1"/>
        <v>31.934429999999992</v>
      </c>
    </row>
    <row r="30" spans="1:6" ht="15.75" customHeight="1">
      <c r="A30" s="7">
        <v>1130206510</v>
      </c>
      <c r="B30" s="8" t="s">
        <v>338</v>
      </c>
      <c r="C30" s="9">
        <v>40</v>
      </c>
      <c r="D30" s="321">
        <v>71.907489999999996</v>
      </c>
      <c r="E30" s="9">
        <f t="shared" si="0"/>
        <v>179.76872499999999</v>
      </c>
      <c r="F30" s="9">
        <f t="shared" si="1"/>
        <v>31.907489999999996</v>
      </c>
    </row>
    <row r="31" spans="1:6" ht="17.25" customHeight="1">
      <c r="A31" s="7">
        <v>1130299510</v>
      </c>
      <c r="B31" s="8" t="s">
        <v>357</v>
      </c>
      <c r="C31" s="9">
        <v>10</v>
      </c>
      <c r="D31" s="321">
        <v>10.02694</v>
      </c>
      <c r="E31" s="9">
        <f>SUM(D31/C31*100)</f>
        <v>100.26939999999999</v>
      </c>
      <c r="F31" s="9">
        <f>SUM(D31-C31)</f>
        <v>2.6939999999999742E-2</v>
      </c>
    </row>
    <row r="32" spans="1:6" ht="18" customHeight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customHeight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3">
        <v>1160000000</v>
      </c>
      <c r="B35" s="13" t="s">
        <v>252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135</v>
      </c>
      <c r="C37" s="5">
        <f>C38+C39</f>
        <v>0</v>
      </c>
      <c r="D37" s="5">
        <f>D38+D39</f>
        <v>-0.25763000000000003</v>
      </c>
      <c r="E37" s="5" t="e">
        <f t="shared" si="0"/>
        <v>#DIV/0!</v>
      </c>
      <c r="F37" s="5">
        <f t="shared" si="1"/>
        <v>-0.25763000000000003</v>
      </c>
    </row>
    <row r="38" spans="1:7" ht="16.5" customHeight="1">
      <c r="A38" s="7">
        <v>1170105005</v>
      </c>
      <c r="B38" s="8" t="s">
        <v>18</v>
      </c>
      <c r="C38" s="9">
        <v>0</v>
      </c>
      <c r="D38" s="9">
        <v>-0.25763000000000003</v>
      </c>
      <c r="E38" s="9" t="e">
        <f t="shared" si="0"/>
        <v>#DIV/0!</v>
      </c>
      <c r="F38" s="9">
        <f t="shared" si="1"/>
        <v>-0.25763000000000003</v>
      </c>
    </row>
    <row r="39" spans="1:7" ht="16.5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1873.5</v>
      </c>
      <c r="D40" s="127">
        <f>D4+D25</f>
        <v>2057.8557799999999</v>
      </c>
      <c r="E40" s="5">
        <f t="shared" si="0"/>
        <v>109.84018041099546</v>
      </c>
      <c r="F40" s="5">
        <f t="shared" si="1"/>
        <v>184.35577999999987</v>
      </c>
    </row>
    <row r="41" spans="1:7" s="6" customFormat="1">
      <c r="A41" s="3">
        <v>2000000000</v>
      </c>
      <c r="B41" s="4" t="s">
        <v>20</v>
      </c>
      <c r="C41" s="5">
        <f>C42+C43+C44+C45+C46+C48</f>
        <v>3306.0900000000006</v>
      </c>
      <c r="D41" s="5">
        <f>D42+D43+D44+D45+D46+D48+D49</f>
        <v>3276.2908000000007</v>
      </c>
      <c r="E41" s="5">
        <f t="shared" si="0"/>
        <v>99.09865732632808</v>
      </c>
      <c r="F41" s="5">
        <f t="shared" si="1"/>
        <v>-29.799199999999928</v>
      </c>
      <c r="G41" s="19"/>
    </row>
    <row r="42" spans="1:7">
      <c r="A42" s="16">
        <v>2021000000</v>
      </c>
      <c r="B42" s="17" t="s">
        <v>21</v>
      </c>
      <c r="C42" s="99">
        <v>1351.8630000000001</v>
      </c>
      <c r="D42" s="99">
        <v>1351.8630000000001</v>
      </c>
      <c r="E42" s="9">
        <f t="shared" si="0"/>
        <v>100</v>
      </c>
      <c r="F42" s="9">
        <f t="shared" si="1"/>
        <v>0</v>
      </c>
    </row>
    <row r="43" spans="1:7" ht="15.75" customHeight="1">
      <c r="A43" s="16">
        <v>2021500200</v>
      </c>
      <c r="B43" s="17" t="s">
        <v>232</v>
      </c>
      <c r="C43" s="99">
        <v>902</v>
      </c>
      <c r="D43" s="20">
        <v>902</v>
      </c>
      <c r="E43" s="9">
        <f>SUM(D43/C43*100)</f>
        <v>100</v>
      </c>
      <c r="F43" s="9">
        <f>SUM(D43-C43)</f>
        <v>0</v>
      </c>
    </row>
    <row r="44" spans="1:7">
      <c r="A44" s="16">
        <v>2022000000</v>
      </c>
      <c r="B44" s="17" t="s">
        <v>22</v>
      </c>
      <c r="C44" s="99">
        <v>705.51900000000001</v>
      </c>
      <c r="D44" s="10">
        <v>705.51900000000001</v>
      </c>
      <c r="E44" s="9">
        <f t="shared" si="0"/>
        <v>100</v>
      </c>
      <c r="F44" s="9">
        <f t="shared" si="1"/>
        <v>0</v>
      </c>
    </row>
    <row r="45" spans="1:7" ht="18" customHeight="1">
      <c r="A45" s="16">
        <v>2023000000</v>
      </c>
      <c r="B45" s="17" t="s">
        <v>23</v>
      </c>
      <c r="C45" s="12">
        <v>174.108</v>
      </c>
      <c r="D45" s="251">
        <v>174.108</v>
      </c>
      <c r="E45" s="9">
        <f t="shared" si="0"/>
        <v>100</v>
      </c>
      <c r="F45" s="9">
        <f t="shared" si="1"/>
        <v>0</v>
      </c>
    </row>
    <row r="46" spans="1:7" ht="22.5" customHeight="1">
      <c r="A46" s="16">
        <v>2020400000</v>
      </c>
      <c r="B46" s="17" t="s">
        <v>24</v>
      </c>
      <c r="C46" s="12">
        <v>120</v>
      </c>
      <c r="D46" s="252">
        <v>120</v>
      </c>
      <c r="E46" s="9">
        <f t="shared" si="0"/>
        <v>100</v>
      </c>
      <c r="F46" s="9">
        <f t="shared" si="1"/>
        <v>0</v>
      </c>
    </row>
    <row r="47" spans="1:7" ht="32.25" customHeight="1">
      <c r="A47" s="16">
        <v>2020900000</v>
      </c>
      <c r="B47" s="18" t="s">
        <v>25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355</v>
      </c>
      <c r="C48" s="12">
        <v>52.6</v>
      </c>
      <c r="D48" s="252">
        <v>52.6</v>
      </c>
      <c r="E48" s="9">
        <f t="shared" si="0"/>
        <v>100</v>
      </c>
      <c r="F48" s="9">
        <f t="shared" si="1"/>
        <v>0</v>
      </c>
    </row>
    <row r="49" spans="1:8" ht="19.5" customHeight="1">
      <c r="A49" s="7">
        <v>2190500005</v>
      </c>
      <c r="B49" s="11" t="s">
        <v>26</v>
      </c>
      <c r="C49" s="12">
        <v>0</v>
      </c>
      <c r="D49" s="252">
        <v>-29.799199999999999</v>
      </c>
      <c r="E49" s="9" t="e">
        <f t="shared" si="0"/>
        <v>#DIV/0!</v>
      </c>
      <c r="F49" s="9">
        <f t="shared" si="1"/>
        <v>-29.799199999999999</v>
      </c>
    </row>
    <row r="50" spans="1:8" s="6" customFormat="1" ht="0.75" hidden="1" customHeight="1">
      <c r="A50" s="3">
        <v>3000000000</v>
      </c>
      <c r="B50" s="13" t="s">
        <v>27</v>
      </c>
      <c r="C50" s="277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28</v>
      </c>
      <c r="C51" s="373">
        <f>C40+C41</f>
        <v>5179.59</v>
      </c>
      <c r="D51" s="373">
        <f>D40+D41</f>
        <v>5334.1465800000005</v>
      </c>
      <c r="E51" s="93">
        <f t="shared" si="0"/>
        <v>102.98395394230046</v>
      </c>
      <c r="F51" s="93">
        <f t="shared" si="1"/>
        <v>154.55658000000039</v>
      </c>
      <c r="G51" s="293"/>
      <c r="H51" s="293"/>
    </row>
    <row r="52" spans="1:8" s="6" customFormat="1">
      <c r="A52" s="3"/>
      <c r="B52" s="21" t="s">
        <v>321</v>
      </c>
      <c r="C52" s="93">
        <f>C51-C98</f>
        <v>-307.037229999999</v>
      </c>
      <c r="D52" s="93">
        <f>D51-D98</f>
        <v>-148.98868999999922</v>
      </c>
      <c r="E52" s="281"/>
      <c r="F52" s="281"/>
    </row>
    <row r="53" spans="1:8">
      <c r="A53" s="23"/>
      <c r="B53" s="24"/>
      <c r="C53" s="250"/>
      <c r="D53" s="250"/>
      <c r="E53" s="26"/>
      <c r="F53" s="27"/>
    </row>
    <row r="54" spans="1:8" ht="45" customHeight="1">
      <c r="A54" s="28" t="s">
        <v>1</v>
      </c>
      <c r="B54" s="28" t="s">
        <v>29</v>
      </c>
      <c r="C54" s="243" t="s">
        <v>346</v>
      </c>
      <c r="D54" s="244" t="s">
        <v>415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30</v>
      </c>
      <c r="B56" s="31" t="s">
        <v>31</v>
      </c>
      <c r="C56" s="32">
        <f>C57+C58+C59+C60+C61+C63+C62</f>
        <v>1145.5439999999999</v>
      </c>
      <c r="D56" s="33">
        <f>D57+D58+D59+D60+D61+D63+D62</f>
        <v>1142.3430499999999</v>
      </c>
      <c r="E56" s="34">
        <f>SUM(D56/C56*100)</f>
        <v>99.720573805982141</v>
      </c>
      <c r="F56" s="34">
        <f>SUM(D56-C56)</f>
        <v>-3.2009499999999207</v>
      </c>
    </row>
    <row r="57" spans="1:8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8" ht="18.75" customHeight="1">
      <c r="A58" s="35" t="s">
        <v>34</v>
      </c>
      <c r="B58" s="39" t="s">
        <v>35</v>
      </c>
      <c r="C58" s="37">
        <v>1119.4469999999999</v>
      </c>
      <c r="D58" s="37">
        <v>1117.24605</v>
      </c>
      <c r="E58" s="38">
        <f t="shared" ref="E58:E98" si="3">SUM(D58/C58*100)</f>
        <v>99.803389530723663</v>
      </c>
      <c r="F58" s="38">
        <f t="shared" ref="F58:F98" si="4">SUM(D58-C58)</f>
        <v>-2.2009499999999207</v>
      </c>
    </row>
    <row r="59" spans="1:8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40</v>
      </c>
      <c r="B61" s="39" t="s">
        <v>41</v>
      </c>
      <c r="C61" s="37">
        <v>16.561</v>
      </c>
      <c r="D61" s="37">
        <v>16.561</v>
      </c>
      <c r="E61" s="38">
        <f t="shared" si="3"/>
        <v>100</v>
      </c>
      <c r="F61" s="38">
        <f t="shared" si="4"/>
        <v>0</v>
      </c>
    </row>
    <row r="62" spans="1:8" ht="18" customHeight="1">
      <c r="A62" s="35" t="s">
        <v>42</v>
      </c>
      <c r="B62" s="39" t="s">
        <v>43</v>
      </c>
      <c r="C62" s="40">
        <v>1</v>
      </c>
      <c r="D62" s="40">
        <v>0</v>
      </c>
      <c r="E62" s="38">
        <f t="shared" si="3"/>
        <v>0</v>
      </c>
      <c r="F62" s="38">
        <f t="shared" si="4"/>
        <v>-1</v>
      </c>
    </row>
    <row r="63" spans="1:8" ht="15.75" customHeight="1">
      <c r="A63" s="35" t="s">
        <v>44</v>
      </c>
      <c r="B63" s="39" t="s">
        <v>45</v>
      </c>
      <c r="C63" s="37">
        <v>8.5359999999999996</v>
      </c>
      <c r="D63" s="37">
        <v>8.5359999999999996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46</v>
      </c>
      <c r="B64" s="42" t="s">
        <v>47</v>
      </c>
      <c r="C64" s="32">
        <f>C65</f>
        <v>170.749</v>
      </c>
      <c r="D64" s="32">
        <f>D65</f>
        <v>170.749</v>
      </c>
      <c r="E64" s="34">
        <f t="shared" si="3"/>
        <v>100</v>
      </c>
      <c r="F64" s="34">
        <f t="shared" si="4"/>
        <v>0</v>
      </c>
    </row>
    <row r="65" spans="1:7">
      <c r="A65" s="43" t="s">
        <v>48</v>
      </c>
      <c r="B65" s="44" t="s">
        <v>49</v>
      </c>
      <c r="C65" s="37">
        <v>170.749</v>
      </c>
      <c r="D65" s="37">
        <v>170.749</v>
      </c>
      <c r="E65" s="38">
        <f t="shared" si="3"/>
        <v>100</v>
      </c>
      <c r="F65" s="38">
        <f t="shared" si="4"/>
        <v>0</v>
      </c>
    </row>
    <row r="66" spans="1:7" s="6" customFormat="1" ht="15" customHeight="1">
      <c r="A66" s="30" t="s">
        <v>50</v>
      </c>
      <c r="B66" s="31" t="s">
        <v>51</v>
      </c>
      <c r="C66" s="425">
        <f>C69+C70</f>
        <v>22.402260000000002</v>
      </c>
      <c r="D66" s="425">
        <f>D69+D70</f>
        <v>22.402260000000002</v>
      </c>
      <c r="E66" s="34">
        <f t="shared" si="3"/>
        <v>100</v>
      </c>
      <c r="F66" s="34">
        <f t="shared" si="4"/>
        <v>0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2.7962600000000002</v>
      </c>
      <c r="D69" s="37">
        <v>2.7962600000000002</v>
      </c>
      <c r="E69" s="34">
        <f t="shared" si="3"/>
        <v>100</v>
      </c>
      <c r="F69" s="34">
        <f t="shared" si="4"/>
        <v>0</v>
      </c>
    </row>
    <row r="70" spans="1:7" ht="15.75" customHeight="1">
      <c r="A70" s="46" t="s">
        <v>219</v>
      </c>
      <c r="B70" s="47" t="s">
        <v>220</v>
      </c>
      <c r="C70" s="37">
        <v>19.606000000000002</v>
      </c>
      <c r="D70" s="37">
        <v>19.606000000000002</v>
      </c>
      <c r="E70" s="34">
        <f t="shared" si="3"/>
        <v>100</v>
      </c>
      <c r="F70" s="34">
        <f t="shared" si="4"/>
        <v>0</v>
      </c>
    </row>
    <row r="71" spans="1:7" s="6" customFormat="1" ht="18.75" customHeight="1">
      <c r="A71" s="30" t="s">
        <v>58</v>
      </c>
      <c r="B71" s="31" t="s">
        <v>59</v>
      </c>
      <c r="C71" s="442">
        <f>SUM(C72:C76)</f>
        <v>2336.2119499999999</v>
      </c>
      <c r="D71" s="224">
        <f>SUM(D72:D76)</f>
        <v>2336.0209499999996</v>
      </c>
      <c r="E71" s="34">
        <f t="shared" si="3"/>
        <v>99.991824371928232</v>
      </c>
      <c r="F71" s="34">
        <f t="shared" si="4"/>
        <v>-0.1910000000002583</v>
      </c>
    </row>
    <row r="72" spans="1:7" ht="15" customHeight="1">
      <c r="A72" s="35" t="s">
        <v>60</v>
      </c>
      <c r="B72" s="39" t="s">
        <v>61</v>
      </c>
      <c r="C72" s="49">
        <v>7.5</v>
      </c>
      <c r="D72" s="37">
        <v>7.5</v>
      </c>
      <c r="E72" s="38">
        <f t="shared" si="3"/>
        <v>100</v>
      </c>
      <c r="F72" s="38">
        <f t="shared" si="4"/>
        <v>0</v>
      </c>
    </row>
    <row r="73" spans="1:7" s="6" customFormat="1" ht="17.25" customHeight="1">
      <c r="A73" s="35" t="s">
        <v>62</v>
      </c>
      <c r="B73" s="39" t="s">
        <v>63</v>
      </c>
      <c r="C73" s="49">
        <v>333.52771999999999</v>
      </c>
      <c r="D73" s="37">
        <v>333.5</v>
      </c>
      <c r="E73" s="38">
        <f t="shared" si="3"/>
        <v>99.991688846732146</v>
      </c>
      <c r="F73" s="38">
        <f t="shared" si="4"/>
        <v>-2.7719999999987976E-2</v>
      </c>
      <c r="G73" s="50"/>
    </row>
    <row r="74" spans="1:7" s="6" customFormat="1" ht="15" hidden="1" customHeight="1">
      <c r="A74" s="35" t="s">
        <v>62</v>
      </c>
      <c r="B74" s="39" t="s">
        <v>63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64</v>
      </c>
      <c r="B75" s="39" t="s">
        <v>65</v>
      </c>
      <c r="C75" s="49">
        <v>1814.52223</v>
      </c>
      <c r="D75" s="37">
        <v>1814.35895</v>
      </c>
      <c r="E75" s="38">
        <f t="shared" si="3"/>
        <v>99.991001488033575</v>
      </c>
      <c r="F75" s="38">
        <f t="shared" si="4"/>
        <v>-0.1632799999999861</v>
      </c>
    </row>
    <row r="76" spans="1:7">
      <c r="A76" s="35" t="s">
        <v>66</v>
      </c>
      <c r="B76" s="39" t="s">
        <v>67</v>
      </c>
      <c r="C76" s="49">
        <v>180.66200000000001</v>
      </c>
      <c r="D76" s="37">
        <v>180.66200000000001</v>
      </c>
      <c r="E76" s="38">
        <f t="shared" si="3"/>
        <v>100</v>
      </c>
      <c r="F76" s="38">
        <f t="shared" si="4"/>
        <v>0</v>
      </c>
    </row>
    <row r="77" spans="1:7" s="6" customFormat="1" ht="17.25" customHeight="1">
      <c r="A77" s="30" t="s">
        <v>68</v>
      </c>
      <c r="B77" s="31" t="s">
        <v>69</v>
      </c>
      <c r="C77" s="32">
        <f>SUM(C78:C80)</f>
        <v>561.42201999999997</v>
      </c>
      <c r="D77" s="32">
        <f>SUM(D78:D80)</f>
        <v>561.42201</v>
      </c>
      <c r="E77" s="34">
        <f t="shared" si="3"/>
        <v>99.999998218808742</v>
      </c>
      <c r="F77" s="34">
        <f t="shared" si="4"/>
        <v>-9.9999999747524271E-6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561.42201999999997</v>
      </c>
      <c r="D80" s="37">
        <v>561.42201</v>
      </c>
      <c r="E80" s="38">
        <f t="shared" si="3"/>
        <v>99.999998218808742</v>
      </c>
      <c r="F80" s="38">
        <f t="shared" si="4"/>
        <v>-9.9999999747524271E-6</v>
      </c>
    </row>
    <row r="81" spans="1:6" s="6" customFormat="1">
      <c r="A81" s="30" t="s">
        <v>86</v>
      </c>
      <c r="B81" s="31" t="s">
        <v>87</v>
      </c>
      <c r="C81" s="32">
        <f>C82</f>
        <v>1236.298</v>
      </c>
      <c r="D81" s="32">
        <f>D82</f>
        <v>1236.1980000000001</v>
      </c>
      <c r="E81" s="34">
        <f t="shared" si="3"/>
        <v>99.991911335292954</v>
      </c>
      <c r="F81" s="34">
        <f t="shared" si="4"/>
        <v>-9.9999999999909051E-2</v>
      </c>
    </row>
    <row r="82" spans="1:6" ht="40.5" hidden="1" customHeight="1">
      <c r="A82" s="35" t="s">
        <v>88</v>
      </c>
      <c r="B82" s="39" t="s">
        <v>234</v>
      </c>
      <c r="C82" s="37">
        <v>1236.298</v>
      </c>
      <c r="D82" s="37">
        <v>1236.1980000000001</v>
      </c>
      <c r="E82" s="38">
        <f t="shared" si="3"/>
        <v>99.991911335292954</v>
      </c>
      <c r="F82" s="38">
        <f t="shared" si="4"/>
        <v>-9.9999999999909051E-2</v>
      </c>
    </row>
    <row r="83" spans="1:6" s="6" customFormat="1" ht="21.75" hidden="1" customHeight="1">
      <c r="A83" s="52">
        <v>1000</v>
      </c>
      <c r="B83" s="31" t="s">
        <v>89</v>
      </c>
      <c r="C83" s="32">
        <f>SUM(C84:C87)</f>
        <v>4</v>
      </c>
      <c r="D83" s="32">
        <f>SUM(D84:D87)</f>
        <v>4</v>
      </c>
      <c r="E83" s="34">
        <f t="shared" si="3"/>
        <v>100</v>
      </c>
      <c r="F83" s="34">
        <f t="shared" si="4"/>
        <v>0</v>
      </c>
    </row>
    <row r="84" spans="1:6" ht="0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29.2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4.7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35.25" hidden="1" customHeight="1">
      <c r="A87" s="35" t="s">
        <v>93</v>
      </c>
      <c r="B87" s="39" t="s">
        <v>94</v>
      </c>
      <c r="C87" s="37">
        <v>4</v>
      </c>
      <c r="D87" s="37">
        <v>4</v>
      </c>
      <c r="E87" s="38"/>
      <c r="F87" s="38">
        <f t="shared" si="4"/>
        <v>0</v>
      </c>
    </row>
    <row r="88" spans="1:6" ht="1.5" hidden="1" customHeight="1">
      <c r="A88" s="30" t="s">
        <v>95</v>
      </c>
      <c r="B88" s="31" t="s">
        <v>96</v>
      </c>
      <c r="C88" s="32">
        <f>C89+C90+C91+C92+C93</f>
        <v>0</v>
      </c>
      <c r="D88" s="32">
        <f>D89+D90+D91+D92+D93</f>
        <v>0</v>
      </c>
      <c r="E88" s="38" t="e">
        <f t="shared" si="3"/>
        <v>#DIV/0!</v>
      </c>
      <c r="F88" s="22">
        <f>F89+F90+F91+F92+F93</f>
        <v>0</v>
      </c>
    </row>
    <row r="89" spans="1:6" ht="27.75" hidden="1" customHeight="1">
      <c r="A89" s="35" t="s">
        <v>97</v>
      </c>
      <c r="B89" s="39" t="s">
        <v>98</v>
      </c>
      <c r="C89" s="37">
        <v>0</v>
      </c>
      <c r="D89" s="37">
        <v>0</v>
      </c>
      <c r="E89" s="38" t="e">
        <f t="shared" si="3"/>
        <v>#DIV/0!</v>
      </c>
      <c r="F89" s="38">
        <f>SUM(D89-C89)</f>
        <v>0</v>
      </c>
    </row>
    <row r="90" spans="1:6" ht="27.7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4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24.7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27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22.5" customHeight="1">
      <c r="A94" s="52">
        <v>1400</v>
      </c>
      <c r="B94" s="56" t="s">
        <v>115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30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95</v>
      </c>
      <c r="B96" s="31" t="s">
        <v>96</v>
      </c>
      <c r="C96" s="48">
        <f>C97</f>
        <v>10</v>
      </c>
      <c r="D96" s="32">
        <f>D97</f>
        <v>10</v>
      </c>
      <c r="E96" s="34">
        <f t="shared" si="3"/>
        <v>100</v>
      </c>
      <c r="F96" s="34">
        <f t="shared" si="4"/>
        <v>0</v>
      </c>
    </row>
    <row r="97" spans="1:7" ht="18" customHeight="1">
      <c r="A97" s="35" t="s">
        <v>97</v>
      </c>
      <c r="B97" s="39" t="s">
        <v>98</v>
      </c>
      <c r="C97" s="49">
        <v>10</v>
      </c>
      <c r="D97" s="37">
        <v>10</v>
      </c>
      <c r="E97" s="38">
        <f t="shared" si="3"/>
        <v>100</v>
      </c>
      <c r="F97" s="38">
        <f t="shared" si="4"/>
        <v>0</v>
      </c>
    </row>
    <row r="98" spans="1:7" s="6" customFormat="1">
      <c r="A98" s="52"/>
      <c r="B98" s="57" t="s">
        <v>119</v>
      </c>
      <c r="C98" s="377">
        <f>C56+C64+C66+C71+C77+C81+C96+C83</f>
        <v>5486.6272299999991</v>
      </c>
      <c r="D98" s="377">
        <f>D56+D64+D66+D71+D77+D81+D96+D83</f>
        <v>5483.1352699999998</v>
      </c>
      <c r="E98" s="34">
        <f t="shared" si="3"/>
        <v>99.936355071091654</v>
      </c>
      <c r="F98" s="34">
        <f t="shared" si="4"/>
        <v>-3.4919599999993807</v>
      </c>
      <c r="G98" s="293"/>
    </row>
    <row r="99" spans="1:7" ht="16.5" customHeight="1">
      <c r="C99" s="126"/>
      <c r="D99" s="101"/>
    </row>
    <row r="100" spans="1:7" s="65" customFormat="1" ht="20.25" customHeight="1">
      <c r="A100" s="63" t="s">
        <v>120</v>
      </c>
      <c r="B100" s="63"/>
      <c r="C100" s="116"/>
      <c r="D100" s="64" t="s">
        <v>275</v>
      </c>
    </row>
    <row r="101" spans="1:7" s="65" customFormat="1" ht="13.5" customHeight="1">
      <c r="A101" s="66" t="s">
        <v>121</v>
      </c>
      <c r="B101" s="66"/>
      <c r="C101" s="65" t="s">
        <v>122</v>
      </c>
    </row>
    <row r="103" spans="1:7" ht="5.25" customHeight="1"/>
  </sheetData>
  <customSheetViews>
    <customSheetView guid="{487FB2A4-0730-401E-81DB-8304F8599D85}" hiddenRows="1" topLeftCell="A20">
      <selection activeCell="C42" sqref="C42"/>
      <pageMargins left="0.7" right="0.7" top="0.75" bottom="0.75" header="0.3" footer="0.3"/>
      <pageSetup paperSize="9" scale="48" orientation="portrait" r:id="rId1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3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4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5"/>
    </customSheetView>
    <customSheetView guid="{B30CE22D-C12F-4E12-8BB9-3AAE0A6991CC}" scale="70" showPageBreaks="1" printArea="1" hiddenRows="1" view="pageBreakPreview" topLeftCell="A3">
      <selection activeCell="C63" sqref="C63"/>
      <pageMargins left="0.70866141732283472" right="0.70866141732283472" top="0.74803149606299213" bottom="0.74803149606299213" header="0.31496062992125984" footer="0.31496062992125984"/>
      <pageSetup paperSize="9" scale="57" orientation="portrait" r:id="rId6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8" orientation="portrait" r:id="rId8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99"/>
  <sheetViews>
    <sheetView topLeftCell="A18" zoomScaleNormal="100" zoomScaleSheetLayoutView="70" workbookViewId="0">
      <selection activeCell="C43" sqref="C43"/>
    </sheetView>
  </sheetViews>
  <sheetFormatPr defaultRowHeight="15.75"/>
  <cols>
    <col min="1" max="1" width="14.7109375" style="58" customWidth="1"/>
    <col min="2" max="2" width="57.5703125" style="59" customWidth="1"/>
    <col min="3" max="3" width="15.5703125" style="62" customWidth="1"/>
    <col min="4" max="4" width="16" style="62" customWidth="1"/>
    <col min="5" max="5" width="10.28515625" style="62" customWidth="1"/>
    <col min="6" max="6" width="9.42578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6" t="s">
        <v>428</v>
      </c>
      <c r="B1" s="516"/>
      <c r="C1" s="516"/>
      <c r="D1" s="516"/>
      <c r="E1" s="516"/>
      <c r="F1" s="516"/>
    </row>
    <row r="2" spans="1:6">
      <c r="A2" s="516"/>
      <c r="B2" s="516"/>
      <c r="C2" s="516"/>
      <c r="D2" s="516"/>
      <c r="E2" s="516"/>
      <c r="F2" s="516"/>
    </row>
    <row r="3" spans="1:6" ht="63">
      <c r="A3" s="2" t="s">
        <v>1</v>
      </c>
      <c r="B3" s="2" t="s">
        <v>2</v>
      </c>
      <c r="C3" s="72" t="s">
        <v>346</v>
      </c>
      <c r="D3" s="73" t="s">
        <v>419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934.7</v>
      </c>
      <c r="D4" s="5">
        <f>D5+D12+D14+D17+D7</f>
        <v>888.53368</v>
      </c>
      <c r="E4" s="5">
        <f>SUM(D4/C4*100)</f>
        <v>95.060840911522405</v>
      </c>
      <c r="F4" s="5">
        <f>SUM(D4-C4)</f>
        <v>-46.166320000000042</v>
      </c>
    </row>
    <row r="5" spans="1:6" s="6" customFormat="1">
      <c r="A5" s="68">
        <v>1010000000</v>
      </c>
      <c r="B5" s="67" t="s">
        <v>6</v>
      </c>
      <c r="C5" s="5">
        <f>C6</f>
        <v>85.8</v>
      </c>
      <c r="D5" s="5">
        <f>D6</f>
        <v>96.946950000000001</v>
      </c>
      <c r="E5" s="5">
        <f t="shared" ref="E5:E49" si="0">SUM(D5/C5*100)</f>
        <v>112.99178321678323</v>
      </c>
      <c r="F5" s="5">
        <f t="shared" ref="F5:F49" si="1">SUM(D5-C5)</f>
        <v>11.146950000000004</v>
      </c>
    </row>
    <row r="6" spans="1:6">
      <c r="A6" s="7">
        <v>1010200001</v>
      </c>
      <c r="B6" s="8" t="s">
        <v>229</v>
      </c>
      <c r="C6" s="9">
        <v>85.8</v>
      </c>
      <c r="D6" s="10">
        <v>96.946950000000001</v>
      </c>
      <c r="E6" s="9">
        <f t="shared" ref="E6:E11" si="2">SUM(D6/C6*100)</f>
        <v>112.99178321678323</v>
      </c>
      <c r="F6" s="9">
        <f t="shared" si="1"/>
        <v>11.146950000000004</v>
      </c>
    </row>
    <row r="7" spans="1:6" ht="31.5">
      <c r="A7" s="3">
        <v>1030000000</v>
      </c>
      <c r="B7" s="13" t="s">
        <v>281</v>
      </c>
      <c r="C7" s="5">
        <f>C8+C10+C9</f>
        <v>330.90000000000003</v>
      </c>
      <c r="D7" s="5">
        <f>D8+D10+D9+D11</f>
        <v>352.14254999999997</v>
      </c>
      <c r="E7" s="5">
        <f t="shared" si="2"/>
        <v>106.41962828649136</v>
      </c>
      <c r="F7" s="5">
        <f t="shared" si="1"/>
        <v>21.242549999999937</v>
      </c>
    </row>
    <row r="8" spans="1:6">
      <c r="A8" s="7">
        <v>1030223001</v>
      </c>
      <c r="B8" s="8" t="s">
        <v>283</v>
      </c>
      <c r="C8" s="9">
        <v>123.43</v>
      </c>
      <c r="D8" s="10">
        <v>156.90252000000001</v>
      </c>
      <c r="E8" s="9">
        <f t="shared" si="2"/>
        <v>127.11862594182939</v>
      </c>
      <c r="F8" s="9">
        <f t="shared" si="1"/>
        <v>33.472520000000003</v>
      </c>
    </row>
    <row r="9" spans="1:6">
      <c r="A9" s="7">
        <v>1030224001</v>
      </c>
      <c r="B9" s="8" t="s">
        <v>289</v>
      </c>
      <c r="C9" s="9">
        <v>1.32</v>
      </c>
      <c r="D9" s="10">
        <v>1.5110600000000001</v>
      </c>
      <c r="E9" s="9">
        <f t="shared" si="2"/>
        <v>114.47424242424242</v>
      </c>
      <c r="F9" s="9">
        <f t="shared" si="1"/>
        <v>0.19106000000000001</v>
      </c>
    </row>
    <row r="10" spans="1:6">
      <c r="A10" s="7">
        <v>1030225001</v>
      </c>
      <c r="B10" s="8" t="s">
        <v>282</v>
      </c>
      <c r="C10" s="9">
        <v>206.15</v>
      </c>
      <c r="D10" s="10">
        <v>228.88405</v>
      </c>
      <c r="E10" s="9">
        <f t="shared" si="2"/>
        <v>111.02791656560757</v>
      </c>
      <c r="F10" s="9">
        <f t="shared" si="1"/>
        <v>22.734049999999996</v>
      </c>
    </row>
    <row r="11" spans="1:6">
      <c r="A11" s="7">
        <v>1030226001</v>
      </c>
      <c r="B11" s="8" t="s">
        <v>291</v>
      </c>
      <c r="C11" s="9">
        <v>0</v>
      </c>
      <c r="D11" s="10">
        <v>-35.155079999999998</v>
      </c>
      <c r="E11" s="9" t="e">
        <f t="shared" si="2"/>
        <v>#DIV/0!</v>
      </c>
      <c r="F11" s="9">
        <f t="shared" si="1"/>
        <v>-35.155079999999998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4.3319999999999999</v>
      </c>
      <c r="E12" s="5">
        <f t="shared" si="0"/>
        <v>43.32</v>
      </c>
      <c r="F12" s="5">
        <f t="shared" si="1"/>
        <v>-5.6680000000000001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4.3319999999999999</v>
      </c>
      <c r="E13" s="9">
        <f t="shared" si="0"/>
        <v>43.32</v>
      </c>
      <c r="F13" s="9">
        <f t="shared" si="1"/>
        <v>-5.6680000000000001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488</v>
      </c>
      <c r="D14" s="5">
        <f>D15+D16</f>
        <v>413.71217999999999</v>
      </c>
      <c r="E14" s="5">
        <f t="shared" si="0"/>
        <v>84.777086065573769</v>
      </c>
      <c r="F14" s="5">
        <f t="shared" si="1"/>
        <v>-74.287820000000011</v>
      </c>
    </row>
    <row r="15" spans="1:6" s="6" customFormat="1" ht="15.75" customHeight="1">
      <c r="A15" s="7">
        <v>1060100000</v>
      </c>
      <c r="B15" s="11" t="s">
        <v>9</v>
      </c>
      <c r="C15" s="9">
        <v>98</v>
      </c>
      <c r="D15" s="10">
        <v>38.300579999999997</v>
      </c>
      <c r="E15" s="9">
        <f t="shared" si="0"/>
        <v>39.082224489795912</v>
      </c>
      <c r="F15" s="9">
        <f>SUM(D15-C15)</f>
        <v>-59.699420000000003</v>
      </c>
    </row>
    <row r="16" spans="1:6" ht="15.75" customHeight="1">
      <c r="A16" s="7">
        <v>1060600000</v>
      </c>
      <c r="B16" s="11" t="s">
        <v>8</v>
      </c>
      <c r="C16" s="9">
        <v>390</v>
      </c>
      <c r="D16" s="10">
        <v>375.41160000000002</v>
      </c>
      <c r="E16" s="9">
        <f t="shared" si="0"/>
        <v>96.259384615384619</v>
      </c>
      <c r="F16" s="9">
        <f t="shared" si="1"/>
        <v>-14.588399999999979</v>
      </c>
    </row>
    <row r="17" spans="1:6" s="6" customFormat="1">
      <c r="A17" s="3">
        <v>1080000000</v>
      </c>
      <c r="B17" s="4" t="s">
        <v>11</v>
      </c>
      <c r="C17" s="5">
        <f>C18</f>
        <v>20</v>
      </c>
      <c r="D17" s="5">
        <f>D18</f>
        <v>21.4</v>
      </c>
      <c r="E17" s="5">
        <f t="shared" si="0"/>
        <v>106.99999999999999</v>
      </c>
      <c r="F17" s="5">
        <f t="shared" si="1"/>
        <v>1.3999999999999986</v>
      </c>
    </row>
    <row r="18" spans="1:6" ht="18" customHeight="1">
      <c r="A18" s="7">
        <v>1080400001</v>
      </c>
      <c r="B18" s="8" t="s">
        <v>228</v>
      </c>
      <c r="C18" s="9">
        <v>20</v>
      </c>
      <c r="D18" s="10">
        <v>21.4</v>
      </c>
      <c r="E18" s="9">
        <f t="shared" si="0"/>
        <v>106.99999999999999</v>
      </c>
      <c r="F18" s="9">
        <f t="shared" si="1"/>
        <v>1.3999999999999986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33</v>
      </c>
      <c r="D25" s="5">
        <f>D27+D29+D34</f>
        <v>7.0369000000000002</v>
      </c>
      <c r="E25" s="5">
        <f t="shared" si="0"/>
        <v>21.323939393939394</v>
      </c>
      <c r="F25" s="5">
        <f t="shared" si="1"/>
        <v>-25.963100000000001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33</v>
      </c>
      <c r="D26" s="5">
        <f>D27</f>
        <v>7.0369000000000002</v>
      </c>
      <c r="E26" s="5">
        <f t="shared" si="0"/>
        <v>21.323939393939394</v>
      </c>
      <c r="F26" s="5">
        <f t="shared" si="1"/>
        <v>-25.963100000000001</v>
      </c>
    </row>
    <row r="27" spans="1:6" ht="17.25" customHeight="1">
      <c r="A27" s="16">
        <v>1110502510</v>
      </c>
      <c r="B27" s="17" t="s">
        <v>226</v>
      </c>
      <c r="C27" s="12">
        <v>33</v>
      </c>
      <c r="D27" s="10">
        <v>7.0369000000000002</v>
      </c>
      <c r="E27" s="9">
        <f t="shared" si="0"/>
        <v>21.323939393939394</v>
      </c>
      <c r="F27" s="9">
        <f t="shared" si="1"/>
        <v>-25.963100000000001</v>
      </c>
    </row>
    <row r="28" spans="1:6" ht="0.75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customHeight="1">
      <c r="A31" s="70">
        <v>1140000000</v>
      </c>
      <c r="B31" s="71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19</v>
      </c>
      <c r="C37" s="127">
        <f>SUM(C4,C25)</f>
        <v>967.7</v>
      </c>
      <c r="D37" s="401">
        <f>D4+D25</f>
        <v>895.57057999999995</v>
      </c>
      <c r="E37" s="5">
        <f t="shared" si="0"/>
        <v>92.546303606489616</v>
      </c>
      <c r="F37" s="5">
        <f t="shared" si="1"/>
        <v>-72.129420000000096</v>
      </c>
    </row>
    <row r="38" spans="1:7" s="6" customFormat="1">
      <c r="A38" s="3">
        <v>2000000000</v>
      </c>
      <c r="B38" s="4" t="s">
        <v>20</v>
      </c>
      <c r="C38" s="391">
        <f>C39+C41+C42+C43+C44+C45</f>
        <v>2870.6830000000004</v>
      </c>
      <c r="D38" s="343">
        <f>D39+D41+D42+D43+D45</f>
        <v>3080.6559500000003</v>
      </c>
      <c r="E38" s="5">
        <f t="shared" si="0"/>
        <v>107.31438999011733</v>
      </c>
      <c r="F38" s="5">
        <f t="shared" si="1"/>
        <v>209.97294999999986</v>
      </c>
      <c r="G38" s="19"/>
    </row>
    <row r="39" spans="1:7" ht="14.25" customHeight="1">
      <c r="A39" s="16">
        <v>2021000000</v>
      </c>
      <c r="B39" s="17" t="s">
        <v>21</v>
      </c>
      <c r="C39" s="99">
        <v>1258.9960000000001</v>
      </c>
      <c r="D39" s="99">
        <v>1258.9960000000001</v>
      </c>
      <c r="E39" s="9">
        <f t="shared" si="0"/>
        <v>100</v>
      </c>
      <c r="F39" s="9">
        <f t="shared" si="1"/>
        <v>0</v>
      </c>
    </row>
    <row r="40" spans="1:7" ht="15.75" hidden="1" customHeight="1">
      <c r="A40" s="16">
        <v>2020100310</v>
      </c>
      <c r="B40" s="17" t="s">
        <v>232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232</v>
      </c>
      <c r="C41" s="99">
        <v>930</v>
      </c>
      <c r="D41" s="20">
        <v>930</v>
      </c>
      <c r="E41" s="9">
        <f t="shared" si="0"/>
        <v>100</v>
      </c>
      <c r="F41" s="9">
        <f t="shared" si="1"/>
        <v>0</v>
      </c>
    </row>
    <row r="42" spans="1:7">
      <c r="A42" s="16">
        <v>2022000000</v>
      </c>
      <c r="B42" s="17" t="s">
        <v>22</v>
      </c>
      <c r="C42" s="99">
        <v>502.952</v>
      </c>
      <c r="D42" s="10">
        <v>502.952</v>
      </c>
      <c r="E42" s="9">
        <f t="shared" si="0"/>
        <v>100</v>
      </c>
      <c r="F42" s="9">
        <f t="shared" si="1"/>
        <v>0</v>
      </c>
    </row>
    <row r="43" spans="1:7" ht="17.25" customHeight="1">
      <c r="A43" s="16">
        <v>2023000000</v>
      </c>
      <c r="B43" s="17" t="s">
        <v>23</v>
      </c>
      <c r="C43" s="12">
        <v>88.734999999999999</v>
      </c>
      <c r="D43" s="251">
        <v>88.734999999999999</v>
      </c>
      <c r="E43" s="9">
        <f t="shared" si="0"/>
        <v>100</v>
      </c>
      <c r="F43" s="9">
        <f t="shared" si="1"/>
        <v>0</v>
      </c>
    </row>
    <row r="44" spans="1:7" ht="0.75" hidden="1" customHeight="1">
      <c r="A44" s="16">
        <v>2020400000</v>
      </c>
      <c r="B44" s="17" t="s">
        <v>24</v>
      </c>
      <c r="C44" s="12"/>
      <c r="D44" s="252"/>
      <c r="E44" s="9" t="e">
        <f t="shared" si="0"/>
        <v>#DIV/0!</v>
      </c>
      <c r="F44" s="9">
        <f t="shared" si="1"/>
        <v>0</v>
      </c>
    </row>
    <row r="45" spans="1:7" ht="14.25" customHeight="1">
      <c r="A45" s="16">
        <v>2070500010</v>
      </c>
      <c r="B45" s="8" t="s">
        <v>355</v>
      </c>
      <c r="C45" s="12">
        <v>90</v>
      </c>
      <c r="D45" s="252">
        <v>299.97295000000003</v>
      </c>
      <c r="E45" s="9">
        <f t="shared" si="0"/>
        <v>333.30327777777779</v>
      </c>
      <c r="F45" s="9">
        <f t="shared" si="1"/>
        <v>209.97295000000003</v>
      </c>
    </row>
    <row r="46" spans="1:7" ht="14.25" customHeight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7" s="6" customFormat="1" ht="16.5" customHeight="1">
      <c r="A47" s="3">
        <v>3000000000</v>
      </c>
      <c r="B47" s="13" t="s">
        <v>27</v>
      </c>
      <c r="C47" s="277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21" customHeight="1">
      <c r="A48" s="3">
        <v>2190500010</v>
      </c>
      <c r="B48" s="13" t="s">
        <v>326</v>
      </c>
      <c r="C48" s="277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28</v>
      </c>
      <c r="C49" s="378">
        <f>C37+C38</f>
        <v>3838.3830000000007</v>
      </c>
      <c r="D49" s="378">
        <f>D37+D38</f>
        <v>3976.2265300000004</v>
      </c>
      <c r="E49" s="5">
        <f t="shared" si="0"/>
        <v>103.59118748702252</v>
      </c>
      <c r="F49" s="5">
        <f t="shared" si="1"/>
        <v>137.84352999999965</v>
      </c>
      <c r="G49" s="293"/>
      <c r="H49" s="370"/>
    </row>
    <row r="50" spans="1:8" s="6" customFormat="1" ht="15.75" customHeight="1">
      <c r="A50" s="3"/>
      <c r="B50" s="21" t="s">
        <v>321</v>
      </c>
      <c r="C50" s="280">
        <f>C49-C95</f>
        <v>16.760440000000472</v>
      </c>
      <c r="D50" s="280">
        <f>D49-D95</f>
        <v>337.45010000000048</v>
      </c>
      <c r="E50" s="22"/>
      <c r="F50" s="22"/>
    </row>
    <row r="51" spans="1:8">
      <c r="A51" s="23"/>
      <c r="B51" s="24"/>
      <c r="C51" s="115"/>
      <c r="D51" s="25"/>
      <c r="E51" s="26"/>
      <c r="F51" s="27"/>
    </row>
    <row r="52" spans="1:8" ht="32.25" customHeight="1">
      <c r="A52" s="28" t="s">
        <v>1</v>
      </c>
      <c r="B52" s="28" t="s">
        <v>29</v>
      </c>
      <c r="C52" s="248" t="s">
        <v>346</v>
      </c>
      <c r="D52" s="73" t="s">
        <v>415</v>
      </c>
      <c r="E52" s="72" t="s">
        <v>3</v>
      </c>
      <c r="F52" s="74" t="s">
        <v>4</v>
      </c>
    </row>
    <row r="53" spans="1:8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8" s="6" customFormat="1" ht="16.5" customHeight="1">
      <c r="A54" s="30" t="s">
        <v>30</v>
      </c>
      <c r="B54" s="31" t="s">
        <v>31</v>
      </c>
      <c r="C54" s="32">
        <f>C55+C56+C57+C58+C59+C61+C60</f>
        <v>1157.8530000000001</v>
      </c>
      <c r="D54" s="33">
        <f>D56+D61</f>
        <v>1087.30575</v>
      </c>
      <c r="E54" s="34">
        <f>SUM(D54/C54*100)</f>
        <v>93.907063331873729</v>
      </c>
      <c r="F54" s="34">
        <f>SUM(D54-C54)</f>
        <v>-70.547250000000076</v>
      </c>
    </row>
    <row r="55" spans="1:8" s="6" customFormat="1" ht="17.25" hidden="1" customHeight="1">
      <c r="A55" s="35" t="s">
        <v>32</v>
      </c>
      <c r="B55" s="36" t="s">
        <v>33</v>
      </c>
      <c r="C55" s="37"/>
      <c r="D55" s="37"/>
      <c r="E55" s="38"/>
      <c r="F55" s="38"/>
    </row>
    <row r="56" spans="1:8" ht="20.25" customHeight="1">
      <c r="A56" s="35" t="s">
        <v>34</v>
      </c>
      <c r="B56" s="39" t="s">
        <v>35</v>
      </c>
      <c r="C56" s="37">
        <v>1150.144</v>
      </c>
      <c r="D56" s="37">
        <v>1084.59725</v>
      </c>
      <c r="E56" s="38">
        <f>SUM(D56/C56*100)</f>
        <v>94.30099622308164</v>
      </c>
      <c r="F56" s="38">
        <f t="shared" ref="F56:F95" si="3">SUM(D56-C56)</f>
        <v>-65.546749999999975</v>
      </c>
    </row>
    <row r="57" spans="1:8" ht="0.75" hidden="1" customHeight="1">
      <c r="A57" s="35" t="s">
        <v>36</v>
      </c>
      <c r="B57" s="39" t="s">
        <v>37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38</v>
      </c>
      <c r="B58" s="39" t="s">
        <v>39</v>
      </c>
      <c r="C58" s="37"/>
      <c r="D58" s="37"/>
      <c r="E58" s="38" t="e">
        <f t="shared" ref="E58:E95" si="4">SUM(D58/C58*100)</f>
        <v>#DIV/0!</v>
      </c>
      <c r="F58" s="38">
        <f t="shared" si="3"/>
        <v>0</v>
      </c>
    </row>
    <row r="59" spans="1:8" ht="0.75" customHeight="1">
      <c r="A59" s="35" t="s">
        <v>40</v>
      </c>
      <c r="B59" s="39" t="s">
        <v>41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42</v>
      </c>
      <c r="B60" s="39" t="s">
        <v>43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8" ht="17.25" customHeight="1">
      <c r="A61" s="35" t="s">
        <v>44</v>
      </c>
      <c r="B61" s="39" t="s">
        <v>45</v>
      </c>
      <c r="C61" s="37">
        <v>2.7090000000000001</v>
      </c>
      <c r="D61" s="37">
        <v>2.7084999999999999</v>
      </c>
      <c r="E61" s="38">
        <f t="shared" si="4"/>
        <v>99.981543004798809</v>
      </c>
      <c r="F61" s="38">
        <f t="shared" si="3"/>
        <v>-5.0000000000016698E-4</v>
      </c>
    </row>
    <row r="62" spans="1:8" s="6" customFormat="1" ht="17.850000000000001" customHeight="1">
      <c r="A62" s="41" t="s">
        <v>46</v>
      </c>
      <c r="B62" s="42" t="s">
        <v>47</v>
      </c>
      <c r="C62" s="32">
        <f>C63</f>
        <v>85.376000000000005</v>
      </c>
      <c r="D62" s="32">
        <f>D63</f>
        <v>85.376000000000005</v>
      </c>
      <c r="E62" s="34">
        <f t="shared" si="4"/>
        <v>100</v>
      </c>
      <c r="F62" s="34">
        <f t="shared" si="3"/>
        <v>0</v>
      </c>
    </row>
    <row r="63" spans="1:8" ht="17.850000000000001" customHeight="1">
      <c r="A63" s="43" t="s">
        <v>48</v>
      </c>
      <c r="B63" s="44" t="s">
        <v>49</v>
      </c>
      <c r="C63" s="37">
        <v>85.376000000000005</v>
      </c>
      <c r="D63" s="37">
        <v>85.376000000000005</v>
      </c>
      <c r="E63" s="38">
        <f t="shared" si="4"/>
        <v>100</v>
      </c>
      <c r="F63" s="38">
        <f t="shared" si="3"/>
        <v>0</v>
      </c>
    </row>
    <row r="64" spans="1:8" s="6" customFormat="1" ht="17.25" customHeight="1">
      <c r="A64" s="30" t="s">
        <v>50</v>
      </c>
      <c r="B64" s="31" t="s">
        <v>51</v>
      </c>
      <c r="C64" s="32">
        <f>C67+C68</f>
        <v>4.8029999999999999</v>
      </c>
      <c r="D64" s="32">
        <f>SUM(D65:D67)</f>
        <v>2.78966</v>
      </c>
      <c r="E64" s="34">
        <f t="shared" si="4"/>
        <v>58.081615656881112</v>
      </c>
      <c r="F64" s="34">
        <f t="shared" si="3"/>
        <v>-2.0133399999999999</v>
      </c>
    </row>
    <row r="65" spans="1:7" ht="17.25" hidden="1" customHeight="1">
      <c r="A65" s="35" t="s">
        <v>52</v>
      </c>
      <c r="B65" s="39" t="s">
        <v>53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54</v>
      </c>
      <c r="B66" s="39" t="s">
        <v>55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56</v>
      </c>
      <c r="B67" s="47" t="s">
        <v>57</v>
      </c>
      <c r="C67" s="37">
        <v>2.8029999999999999</v>
      </c>
      <c r="D67" s="37">
        <v>2.78966</v>
      </c>
      <c r="E67" s="34">
        <f t="shared" si="4"/>
        <v>99.524081341419915</v>
      </c>
      <c r="F67" s="34">
        <f t="shared" si="3"/>
        <v>-1.3339999999999907E-2</v>
      </c>
    </row>
    <row r="68" spans="1:7" ht="18" customHeight="1">
      <c r="A68" s="46" t="s">
        <v>219</v>
      </c>
      <c r="B68" s="47" t="s">
        <v>220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s="6" customFormat="1" ht="15.75" customHeight="1">
      <c r="A69" s="30" t="s">
        <v>58</v>
      </c>
      <c r="B69" s="31" t="s">
        <v>59</v>
      </c>
      <c r="C69" s="48">
        <f>SUM(C70:C73)</f>
        <v>987.54556000000002</v>
      </c>
      <c r="D69" s="48">
        <f>D70+D71+D72+D73</f>
        <v>952.18002000000001</v>
      </c>
      <c r="E69" s="34">
        <f t="shared" si="4"/>
        <v>96.4188447163896</v>
      </c>
      <c r="F69" s="34">
        <f t="shared" si="3"/>
        <v>-35.36554000000001</v>
      </c>
    </row>
    <row r="70" spans="1:7" ht="16.5" customHeight="1">
      <c r="A70" s="35" t="s">
        <v>60</v>
      </c>
      <c r="B70" s="39" t="s">
        <v>61</v>
      </c>
      <c r="C70" s="49">
        <v>7.5</v>
      </c>
      <c r="D70" s="37">
        <v>7.5</v>
      </c>
      <c r="E70" s="38">
        <f t="shared" si="4"/>
        <v>100</v>
      </c>
      <c r="F70" s="38">
        <f t="shared" si="3"/>
        <v>0</v>
      </c>
    </row>
    <row r="71" spans="1:7" s="6" customFormat="1" ht="19.5" customHeight="1">
      <c r="A71" s="35" t="s">
        <v>62</v>
      </c>
      <c r="B71" s="39" t="s">
        <v>63</v>
      </c>
      <c r="C71" s="49">
        <v>80.863</v>
      </c>
      <c r="D71" s="37">
        <v>80.862250000000003</v>
      </c>
      <c r="E71" s="38">
        <f t="shared" si="4"/>
        <v>99.999072505348551</v>
      </c>
      <c r="F71" s="38">
        <f t="shared" si="3"/>
        <v>-7.4999999999647571E-4</v>
      </c>
      <c r="G71" s="50"/>
    </row>
    <row r="72" spans="1:7" ht="17.25" customHeight="1">
      <c r="A72" s="35" t="s">
        <v>64</v>
      </c>
      <c r="B72" s="39" t="s">
        <v>65</v>
      </c>
      <c r="C72" s="49">
        <v>879.18255999999997</v>
      </c>
      <c r="D72" s="37">
        <v>862.81777</v>
      </c>
      <c r="E72" s="38">
        <f t="shared" si="4"/>
        <v>98.138635734539591</v>
      </c>
      <c r="F72" s="38">
        <f t="shared" si="3"/>
        <v>-16.364789999999971</v>
      </c>
    </row>
    <row r="73" spans="1:7" ht="15.75" customHeight="1">
      <c r="A73" s="35" t="s">
        <v>66</v>
      </c>
      <c r="B73" s="39" t="s">
        <v>67</v>
      </c>
      <c r="C73" s="49">
        <v>20</v>
      </c>
      <c r="D73" s="37">
        <v>1</v>
      </c>
      <c r="E73" s="38">
        <f t="shared" si="4"/>
        <v>5</v>
      </c>
      <c r="F73" s="38">
        <f t="shared" si="3"/>
        <v>-19</v>
      </c>
    </row>
    <row r="74" spans="1:7" s="6" customFormat="1" ht="18" customHeight="1">
      <c r="A74" s="30" t="s">
        <v>68</v>
      </c>
      <c r="B74" s="31" t="s">
        <v>69</v>
      </c>
      <c r="C74" s="32">
        <f>SUM(C75:C77)</f>
        <v>205.208</v>
      </c>
      <c r="D74" s="32">
        <f>D77</f>
        <v>187.38300000000001</v>
      </c>
      <c r="E74" s="34">
        <f t="shared" si="4"/>
        <v>91.313691474016608</v>
      </c>
      <c r="F74" s="34">
        <f t="shared" si="3"/>
        <v>-17.824999999999989</v>
      </c>
    </row>
    <row r="75" spans="1:7" ht="15.75" customHeight="1">
      <c r="A75" s="35" t="s">
        <v>70</v>
      </c>
      <c r="B75" s="51" t="s">
        <v>71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15.75" customHeight="1">
      <c r="A76" s="35" t="s">
        <v>72</v>
      </c>
      <c r="B76" s="51" t="s">
        <v>73</v>
      </c>
      <c r="C76" s="37">
        <v>0</v>
      </c>
      <c r="D76" s="37"/>
      <c r="E76" s="38" t="e">
        <f t="shared" si="4"/>
        <v>#DIV/0!</v>
      </c>
      <c r="F76" s="38">
        <f t="shared" si="3"/>
        <v>0</v>
      </c>
    </row>
    <row r="77" spans="1:7" ht="17.850000000000001" customHeight="1">
      <c r="A77" s="35" t="s">
        <v>74</v>
      </c>
      <c r="B77" s="39" t="s">
        <v>75</v>
      </c>
      <c r="C77" s="37">
        <v>205.208</v>
      </c>
      <c r="D77" s="37">
        <v>187.38300000000001</v>
      </c>
      <c r="E77" s="38">
        <f t="shared" si="4"/>
        <v>91.313691474016608</v>
      </c>
      <c r="F77" s="38">
        <f t="shared" si="3"/>
        <v>-17.824999999999989</v>
      </c>
    </row>
    <row r="78" spans="1:7" s="6" customFormat="1" ht="17.850000000000001" customHeight="1">
      <c r="A78" s="30" t="s">
        <v>86</v>
      </c>
      <c r="B78" s="31" t="s">
        <v>87</v>
      </c>
      <c r="C78" s="32">
        <f>C79</f>
        <v>1377.837</v>
      </c>
      <c r="D78" s="32">
        <f>D79</f>
        <v>1320.742</v>
      </c>
      <c r="E78" s="34">
        <f t="shared" si="4"/>
        <v>95.856186181674602</v>
      </c>
      <c r="F78" s="34">
        <f t="shared" si="3"/>
        <v>-57.095000000000027</v>
      </c>
    </row>
    <row r="79" spans="1:7" ht="15" customHeight="1">
      <c r="A79" s="35" t="s">
        <v>88</v>
      </c>
      <c r="B79" s="39" t="s">
        <v>234</v>
      </c>
      <c r="C79" s="37">
        <v>1377.837</v>
      </c>
      <c r="D79" s="37">
        <v>1320.742</v>
      </c>
      <c r="E79" s="38">
        <f t="shared" si="4"/>
        <v>95.856186181674602</v>
      </c>
      <c r="F79" s="38">
        <f t="shared" si="3"/>
        <v>-57.095000000000027</v>
      </c>
    </row>
    <row r="80" spans="1:7" s="6" customFormat="1" ht="0.75" hidden="1" customHeight="1">
      <c r="A80" s="52">
        <v>1000</v>
      </c>
      <c r="B80" s="31" t="s">
        <v>89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6" ht="0.75" hidden="1" customHeight="1">
      <c r="A81" s="53">
        <v>1001</v>
      </c>
      <c r="B81" s="54" t="s">
        <v>90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6" ht="17.25" hidden="1" customHeight="1">
      <c r="A82" s="53">
        <v>1003</v>
      </c>
      <c r="B82" s="54" t="s">
        <v>91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6" ht="17.25" hidden="1" customHeight="1">
      <c r="A83" s="53">
        <v>1004</v>
      </c>
      <c r="B83" s="54" t="s">
        <v>92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6" ht="17.25" hidden="1" customHeight="1">
      <c r="A84" s="35" t="s">
        <v>93</v>
      </c>
      <c r="B84" s="39" t="s">
        <v>94</v>
      </c>
      <c r="C84" s="37">
        <v>0</v>
      </c>
      <c r="D84" s="37">
        <v>0</v>
      </c>
      <c r="E84" s="38"/>
      <c r="F84" s="38">
        <f t="shared" si="3"/>
        <v>0</v>
      </c>
    </row>
    <row r="85" spans="1:6" ht="17.850000000000001" customHeight="1">
      <c r="A85" s="30" t="s">
        <v>95</v>
      </c>
      <c r="B85" s="31" t="s">
        <v>96</v>
      </c>
      <c r="C85" s="32">
        <f>C86+C87+C88+C89+C90</f>
        <v>3</v>
      </c>
      <c r="D85" s="32">
        <f>D86+D87+D88+D89+D90</f>
        <v>3</v>
      </c>
      <c r="E85" s="38">
        <f t="shared" si="4"/>
        <v>100</v>
      </c>
      <c r="F85" s="22">
        <f>F86+F87+F88+F89+F90</f>
        <v>0</v>
      </c>
    </row>
    <row r="86" spans="1:6" ht="17.25" customHeight="1">
      <c r="A86" s="35" t="s">
        <v>97</v>
      </c>
      <c r="B86" s="39" t="s">
        <v>98</v>
      </c>
      <c r="C86" s="37">
        <v>3</v>
      </c>
      <c r="D86" s="37">
        <v>3</v>
      </c>
      <c r="E86" s="38">
        <f t="shared" si="4"/>
        <v>100</v>
      </c>
      <c r="F86" s="38">
        <f>SUM(D86-C86)</f>
        <v>0</v>
      </c>
    </row>
    <row r="87" spans="1:6" ht="15.75" hidden="1" customHeight="1">
      <c r="A87" s="35" t="s">
        <v>99</v>
      </c>
      <c r="B87" s="39" t="s">
        <v>100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6" ht="15.75" hidden="1" customHeight="1">
      <c r="A88" s="35" t="s">
        <v>101</v>
      </c>
      <c r="B88" s="39" t="s">
        <v>102</v>
      </c>
      <c r="C88" s="37"/>
      <c r="D88" s="37"/>
      <c r="E88" s="38" t="e">
        <f t="shared" si="4"/>
        <v>#DIV/0!</v>
      </c>
      <c r="F88" s="38"/>
    </row>
    <row r="89" spans="1:6" ht="15.75" hidden="1" customHeight="1">
      <c r="A89" s="35" t="s">
        <v>103</v>
      </c>
      <c r="B89" s="39" t="s">
        <v>104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105</v>
      </c>
      <c r="B90" s="39" t="s">
        <v>106</v>
      </c>
      <c r="C90" s="37"/>
      <c r="D90" s="37"/>
      <c r="E90" s="38" t="e">
        <f t="shared" si="4"/>
        <v>#DIV/0!</v>
      </c>
      <c r="F90" s="38"/>
    </row>
    <row r="91" spans="1:6" s="6" customFormat="1" ht="15.75" hidden="1" customHeight="1">
      <c r="A91" s="52">
        <v>1400</v>
      </c>
      <c r="B91" s="56" t="s">
        <v>115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6" ht="15.75" hidden="1" customHeight="1">
      <c r="A92" s="53">
        <v>1401</v>
      </c>
      <c r="B92" s="54" t="s">
        <v>116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6" ht="18" hidden="1" customHeight="1">
      <c r="A93" s="53">
        <v>1402</v>
      </c>
      <c r="B93" s="54" t="s">
        <v>117</v>
      </c>
      <c r="C93" s="239"/>
      <c r="D93" s="240"/>
      <c r="E93" s="38" t="e">
        <f t="shared" si="4"/>
        <v>#DIV/0!</v>
      </c>
      <c r="F93" s="38">
        <f t="shared" si="3"/>
        <v>0</v>
      </c>
    </row>
    <row r="94" spans="1:6" ht="15.75" hidden="1" customHeight="1">
      <c r="A94" s="53">
        <v>1403</v>
      </c>
      <c r="B94" s="54" t="s">
        <v>118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6" s="6" customFormat="1" ht="16.5" customHeight="1">
      <c r="A95" s="52"/>
      <c r="B95" s="57" t="s">
        <v>119</v>
      </c>
      <c r="C95" s="380">
        <f>C54+C62+C64+C69+C74+C78+C80+C85+C91</f>
        <v>3821.6225600000002</v>
      </c>
      <c r="D95" s="380">
        <f>D54+D62+D64+D69+D74+D78+D85</f>
        <v>3638.7764299999999</v>
      </c>
      <c r="E95" s="34">
        <f t="shared" si="4"/>
        <v>95.215484336056448</v>
      </c>
      <c r="F95" s="34">
        <f t="shared" si="3"/>
        <v>-182.84613000000036</v>
      </c>
    </row>
    <row r="96" spans="1:6" ht="20.25" customHeight="1">
      <c r="C96" s="126"/>
      <c r="D96" s="101"/>
    </row>
    <row r="97" spans="1:4" s="65" customFormat="1" ht="13.5" customHeight="1">
      <c r="A97" s="63" t="s">
        <v>120</v>
      </c>
      <c r="B97" s="63"/>
      <c r="C97" s="116"/>
      <c r="D97" s="64"/>
    </row>
    <row r="98" spans="1:4" s="65" customFormat="1" ht="12.75">
      <c r="A98" s="66" t="s">
        <v>121</v>
      </c>
      <c r="B98" s="66"/>
      <c r="C98" s="134" t="s">
        <v>122</v>
      </c>
      <c r="D98" s="134"/>
    </row>
    <row r="99" spans="1:4" ht="5.25" customHeight="1">
      <c r="C99" s="120"/>
    </row>
  </sheetData>
  <customSheetViews>
    <customSheetView guid="{487FB2A4-0730-401E-81DB-8304F8599D85}" hiddenRows="1" topLeftCell="A18">
      <selection activeCell="C43" sqref="C43"/>
      <pageMargins left="0.7" right="0.7" top="0.75" bottom="0.75" header="0.3" footer="0.3"/>
      <pageSetup paperSize="9" scale="60" orientation="portrait" r:id="rId1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2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3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4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B30CE22D-C12F-4E12-8BB9-3AAE0A6991CC}" scale="70" showPageBreaks="1" hiddenRows="1" view="pageBreakPreview" topLeftCell="A7">
      <selection activeCell="D85" sqref="D85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0" orientation="portrait" r:id="rId8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G103"/>
  <sheetViews>
    <sheetView topLeftCell="A50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6" t="s">
        <v>429</v>
      </c>
      <c r="B1" s="516"/>
      <c r="C1" s="516"/>
      <c r="D1" s="516"/>
      <c r="E1" s="516"/>
      <c r="F1" s="516"/>
    </row>
    <row r="2" spans="1:6">
      <c r="A2" s="516"/>
      <c r="B2" s="516"/>
      <c r="C2" s="516"/>
      <c r="D2" s="516"/>
      <c r="E2" s="516"/>
      <c r="F2" s="516"/>
    </row>
    <row r="3" spans="1:6" ht="63">
      <c r="A3" s="2" t="s">
        <v>1</v>
      </c>
      <c r="B3" s="2" t="s">
        <v>2</v>
      </c>
      <c r="C3" s="72" t="s">
        <v>346</v>
      </c>
      <c r="D3" s="73" t="s">
        <v>419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C5+C12+C17+C7+C14</f>
        <v>1019.12</v>
      </c>
      <c r="D4" s="5">
        <f>D5+D12+D14+D17+D20+D7</f>
        <v>1061.2259800000002</v>
      </c>
      <c r="E4" s="5">
        <f>SUM(D4/C4*100)</f>
        <v>104.13160177407961</v>
      </c>
      <c r="F4" s="5">
        <f>SUM(D4-C4)</f>
        <v>42.105980000000159</v>
      </c>
    </row>
    <row r="5" spans="1:6" s="6" customFormat="1">
      <c r="A5" s="68">
        <v>1010000000</v>
      </c>
      <c r="B5" s="67" t="s">
        <v>6</v>
      </c>
      <c r="C5" s="5">
        <f>C6</f>
        <v>95.3</v>
      </c>
      <c r="D5" s="5">
        <f>D6</f>
        <v>89.812139999999999</v>
      </c>
      <c r="E5" s="5">
        <f t="shared" ref="E5:E51" si="0">SUM(D5/C5*100)</f>
        <v>94.241490031479529</v>
      </c>
      <c r="F5" s="5">
        <f t="shared" ref="F5:F51" si="1">SUM(D5-C5)</f>
        <v>-5.4878599999999977</v>
      </c>
    </row>
    <row r="6" spans="1:6">
      <c r="A6" s="7">
        <v>1010200001</v>
      </c>
      <c r="B6" s="8" t="s">
        <v>229</v>
      </c>
      <c r="C6" s="9">
        <v>95.3</v>
      </c>
      <c r="D6" s="10">
        <v>89.812139999999999</v>
      </c>
      <c r="E6" s="9">
        <f t="shared" ref="E6:E11" si="2">SUM(D6/C6*100)</f>
        <v>94.241490031479529</v>
      </c>
      <c r="F6" s="9">
        <f t="shared" si="1"/>
        <v>-5.4878599999999977</v>
      </c>
    </row>
    <row r="7" spans="1:6" ht="31.5">
      <c r="A7" s="3">
        <v>1030000000</v>
      </c>
      <c r="B7" s="13" t="s">
        <v>281</v>
      </c>
      <c r="C7" s="5">
        <f>C8+C10+C9</f>
        <v>313.82</v>
      </c>
      <c r="D7" s="5">
        <f>D8+D10+D9+D11</f>
        <v>333.96759000000003</v>
      </c>
      <c r="E7" s="9">
        <f t="shared" si="2"/>
        <v>106.4201102542859</v>
      </c>
      <c r="F7" s="9">
        <f t="shared" si="1"/>
        <v>20.147590000000037</v>
      </c>
    </row>
    <row r="8" spans="1:6">
      <c r="A8" s="7">
        <v>1030223001</v>
      </c>
      <c r="B8" s="8" t="s">
        <v>283</v>
      </c>
      <c r="C8" s="9">
        <v>117.05</v>
      </c>
      <c r="D8" s="10">
        <v>148.80438000000001</v>
      </c>
      <c r="E8" s="9">
        <f t="shared" si="2"/>
        <v>127.12890217855619</v>
      </c>
      <c r="F8" s="9">
        <f t="shared" si="1"/>
        <v>31.754380000000012</v>
      </c>
    </row>
    <row r="9" spans="1:6">
      <c r="A9" s="7">
        <v>1030224001</v>
      </c>
      <c r="B9" s="8" t="s">
        <v>289</v>
      </c>
      <c r="C9" s="9">
        <v>1.26</v>
      </c>
      <c r="D9" s="10">
        <v>1.4331400000000001</v>
      </c>
      <c r="E9" s="9">
        <f t="shared" si="2"/>
        <v>113.74126984126984</v>
      </c>
      <c r="F9" s="9">
        <f t="shared" si="1"/>
        <v>0.17314000000000007</v>
      </c>
    </row>
    <row r="10" spans="1:6">
      <c r="A10" s="7">
        <v>1030225001</v>
      </c>
      <c r="B10" s="8" t="s">
        <v>282</v>
      </c>
      <c r="C10" s="9">
        <v>195.51</v>
      </c>
      <c r="D10" s="10">
        <v>217.07069000000001</v>
      </c>
      <c r="E10" s="9">
        <f t="shared" si="2"/>
        <v>111.02792184542992</v>
      </c>
      <c r="F10" s="9">
        <f t="shared" si="1"/>
        <v>21.560690000000022</v>
      </c>
    </row>
    <row r="11" spans="1:6">
      <c r="A11" s="7">
        <v>1030226001</v>
      </c>
      <c r="B11" s="8" t="s">
        <v>291</v>
      </c>
      <c r="C11" s="9">
        <v>0</v>
      </c>
      <c r="D11" s="10">
        <v>-33.340620000000001</v>
      </c>
      <c r="E11" s="9" t="e">
        <f t="shared" si="2"/>
        <v>#DIV/0!</v>
      </c>
      <c r="F11" s="9">
        <f t="shared" si="1"/>
        <v>-33.340620000000001</v>
      </c>
    </row>
    <row r="12" spans="1:6" s="6" customFormat="1">
      <c r="A12" s="68">
        <v>1050000000</v>
      </c>
      <c r="B12" s="67" t="s">
        <v>7</v>
      </c>
      <c r="C12" s="5">
        <f>SUM(C13:C13)</f>
        <v>65</v>
      </c>
      <c r="D12" s="5">
        <f>SUM(D13:D13)</f>
        <v>82.355959999999996</v>
      </c>
      <c r="E12" s="5">
        <f t="shared" si="0"/>
        <v>126.70147692307691</v>
      </c>
      <c r="F12" s="5">
        <f t="shared" si="1"/>
        <v>17.355959999999996</v>
      </c>
    </row>
    <row r="13" spans="1:6" ht="15.75" customHeight="1">
      <c r="A13" s="7">
        <v>1050300000</v>
      </c>
      <c r="B13" s="11" t="s">
        <v>230</v>
      </c>
      <c r="C13" s="12">
        <v>65</v>
      </c>
      <c r="D13" s="10">
        <v>82.355959999999996</v>
      </c>
      <c r="E13" s="9">
        <f t="shared" si="0"/>
        <v>126.70147692307691</v>
      </c>
      <c r="F13" s="9">
        <f t="shared" si="1"/>
        <v>17.355959999999996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535</v>
      </c>
      <c r="D14" s="5">
        <f>D15+D16</f>
        <v>545.14029000000005</v>
      </c>
      <c r="E14" s="9">
        <f t="shared" si="0"/>
        <v>101.89538130841123</v>
      </c>
      <c r="F14" s="9">
        <f t="shared" si="1"/>
        <v>10.14029000000005</v>
      </c>
    </row>
    <row r="15" spans="1:6" s="6" customFormat="1" ht="15.75" customHeight="1">
      <c r="A15" s="7">
        <v>1060100000</v>
      </c>
      <c r="B15" s="11" t="s">
        <v>9</v>
      </c>
      <c r="C15" s="278">
        <v>75</v>
      </c>
      <c r="D15" s="10">
        <v>88.531620000000004</v>
      </c>
      <c r="E15" s="9">
        <f>SUM(D15/C15*100)</f>
        <v>118.04216000000001</v>
      </c>
      <c r="F15" s="9">
        <f>SUM(D15-C14)</f>
        <v>-446.46838000000002</v>
      </c>
    </row>
    <row r="16" spans="1:6" ht="15.75" customHeight="1">
      <c r="A16" s="7">
        <v>1060600000</v>
      </c>
      <c r="B16" s="11" t="s">
        <v>8</v>
      </c>
      <c r="C16" s="9">
        <v>460</v>
      </c>
      <c r="D16" s="10">
        <v>456.60867000000002</v>
      </c>
      <c r="E16" s="9">
        <f t="shared" si="0"/>
        <v>99.262754347826089</v>
      </c>
      <c r="F16" s="9">
        <f t="shared" si="1"/>
        <v>-3.3913299999999822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9.9499999999999993</v>
      </c>
      <c r="E17" s="5">
        <f t="shared" si="0"/>
        <v>99.499999999999986</v>
      </c>
      <c r="F17" s="5">
        <f t="shared" si="1"/>
        <v>-5.0000000000000711E-2</v>
      </c>
    </row>
    <row r="18" spans="1:6" ht="18.75" customHeight="1">
      <c r="A18" s="7">
        <v>1080400001</v>
      </c>
      <c r="B18" s="8" t="s">
        <v>228</v>
      </c>
      <c r="C18" s="9">
        <v>10</v>
      </c>
      <c r="D18" s="10">
        <v>9.9499999999999993</v>
      </c>
      <c r="E18" s="9">
        <f t="shared" si="0"/>
        <v>99.499999999999986</v>
      </c>
      <c r="F18" s="9">
        <f t="shared" si="1"/>
        <v>-5.0000000000000711E-2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customHeight="1">
      <c r="A20" s="68">
        <v>1090000000</v>
      </c>
      <c r="B20" s="69" t="s">
        <v>231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C26+C29+C31+C37+C34</f>
        <v>107</v>
      </c>
      <c r="D25" s="5">
        <f>D26+D29+D31+D37-D34</f>
        <v>75.967839999999995</v>
      </c>
      <c r="E25" s="5">
        <f t="shared" si="0"/>
        <v>70.997981308411212</v>
      </c>
      <c r="F25" s="5">
        <f t="shared" si="1"/>
        <v>-31.032160000000005</v>
      </c>
    </row>
    <row r="26" spans="1:6" s="6" customFormat="1" ht="15.75" customHeight="1">
      <c r="A26" s="68">
        <v>1110000000</v>
      </c>
      <c r="B26" s="69" t="s">
        <v>129</v>
      </c>
      <c r="C26" s="5">
        <f>C27+C28</f>
        <v>82</v>
      </c>
      <c r="D26" s="5">
        <f>D27+D28</f>
        <v>33.747</v>
      </c>
      <c r="E26" s="5">
        <f t="shared" si="0"/>
        <v>41.154878048780489</v>
      </c>
      <c r="F26" s="5">
        <f t="shared" si="1"/>
        <v>-48.253</v>
      </c>
    </row>
    <row r="27" spans="1:6" ht="15.75" customHeight="1">
      <c r="A27" s="16">
        <v>1110502510</v>
      </c>
      <c r="B27" s="17" t="s">
        <v>226</v>
      </c>
      <c r="C27" s="12">
        <v>80</v>
      </c>
      <c r="D27" s="10">
        <v>33.747</v>
      </c>
      <c r="E27" s="9">
        <f t="shared" si="0"/>
        <v>42.183749999999996</v>
      </c>
      <c r="F27" s="9">
        <f t="shared" si="1"/>
        <v>-46.253</v>
      </c>
    </row>
    <row r="28" spans="1:6" ht="17.25" customHeight="1">
      <c r="A28" s="7">
        <v>1110503505</v>
      </c>
      <c r="B28" s="11" t="s">
        <v>225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33.75" customHeight="1">
      <c r="A29" s="68">
        <v>1130000000</v>
      </c>
      <c r="B29" s="69" t="s">
        <v>131</v>
      </c>
      <c r="C29" s="5">
        <f>C30</f>
        <v>25</v>
      </c>
      <c r="D29" s="5">
        <f>D30</f>
        <v>42.222000000000001</v>
      </c>
      <c r="E29" s="5">
        <f t="shared" si="0"/>
        <v>168.88800000000001</v>
      </c>
      <c r="F29" s="5">
        <f t="shared" si="1"/>
        <v>17.222000000000001</v>
      </c>
    </row>
    <row r="30" spans="1:6" ht="17.25" customHeight="1">
      <c r="A30" s="7">
        <v>1130206005</v>
      </c>
      <c r="B30" s="8" t="s">
        <v>224</v>
      </c>
      <c r="C30" s="9">
        <v>25</v>
      </c>
      <c r="D30" s="10">
        <v>42.222000000000001</v>
      </c>
      <c r="E30" s="9">
        <f t="shared" si="0"/>
        <v>168.88800000000001</v>
      </c>
      <c r="F30" s="9">
        <f t="shared" si="1"/>
        <v>17.222000000000001</v>
      </c>
    </row>
    <row r="31" spans="1:6" ht="22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3">
        <v>1160000000</v>
      </c>
      <c r="B34" s="13" t="s">
        <v>252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-1.16E-3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10" t="e">
        <f>E37</f>
        <v>#DIV/0!</v>
      </c>
      <c r="F35" s="10">
        <f>F37</f>
        <v>-1.16E-3</v>
      </c>
    </row>
    <row r="36" spans="1:7" ht="47.25">
      <c r="A36" s="7">
        <v>1169005010</v>
      </c>
      <c r="B36" s="8" t="s">
        <v>343</v>
      </c>
      <c r="C36" s="9">
        <v>0</v>
      </c>
      <c r="D36" s="10">
        <v>0</v>
      </c>
      <c r="E36" s="10" t="e">
        <f>E38</f>
        <v>#DIV/0!</v>
      </c>
      <c r="F36" s="10">
        <f>F38</f>
        <v>-1.16E-3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-1.16E-3</v>
      </c>
      <c r="E37" s="9" t="e">
        <f t="shared" si="0"/>
        <v>#DIV/0!</v>
      </c>
      <c r="F37" s="5">
        <f t="shared" si="1"/>
        <v>-1.16E-3</v>
      </c>
    </row>
    <row r="38" spans="1:7">
      <c r="A38" s="7">
        <v>1170105005</v>
      </c>
      <c r="B38" s="8" t="s">
        <v>18</v>
      </c>
      <c r="C38" s="9">
        <v>0</v>
      </c>
      <c r="D38" s="9">
        <f>-1.16/1000</f>
        <v>-1.16E-3</v>
      </c>
      <c r="E38" s="9" t="e">
        <f t="shared" si="0"/>
        <v>#DIV/0!</v>
      </c>
      <c r="F38" s="9">
        <f t="shared" si="1"/>
        <v>-1.16E-3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19</v>
      </c>
      <c r="C40" s="127">
        <f>SUM(C4,C25)</f>
        <v>1126.1199999999999</v>
      </c>
      <c r="D40" s="127">
        <f>D4+D25</f>
        <v>1137.1938200000002</v>
      </c>
      <c r="E40" s="5">
        <f t="shared" si="0"/>
        <v>100.98336056548149</v>
      </c>
      <c r="F40" s="5">
        <f t="shared" si="1"/>
        <v>11.073820000000296</v>
      </c>
    </row>
    <row r="41" spans="1:7" s="6" customFormat="1">
      <c r="A41" s="3">
        <v>2000000000</v>
      </c>
      <c r="B41" s="4" t="s">
        <v>20</v>
      </c>
      <c r="C41" s="5">
        <f>C42+C44+C45+C46+C47+C48+C43+C50</f>
        <v>2350.21</v>
      </c>
      <c r="D41" s="343">
        <f>D42+D44+D45+D46+D47+D48+D43+D50</f>
        <v>2350.17</v>
      </c>
      <c r="E41" s="5">
        <f t="shared" si="0"/>
        <v>99.998298024431861</v>
      </c>
      <c r="F41" s="5">
        <f t="shared" si="1"/>
        <v>-3.999999999996362E-2</v>
      </c>
      <c r="G41" s="19"/>
    </row>
    <row r="42" spans="1:7" ht="16.5" customHeight="1">
      <c r="A42" s="16">
        <v>2021000000</v>
      </c>
      <c r="B42" s="17" t="s">
        <v>21</v>
      </c>
      <c r="C42" s="12">
        <f>1897.5+9.163</f>
        <v>1906.663</v>
      </c>
      <c r="D42" s="12">
        <f>1897.5+9.163</f>
        <v>1906.663</v>
      </c>
      <c r="E42" s="9">
        <f t="shared" si="0"/>
        <v>100</v>
      </c>
      <c r="F42" s="9">
        <f t="shared" si="1"/>
        <v>0</v>
      </c>
    </row>
    <row r="43" spans="1:7" ht="17.2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22</v>
      </c>
      <c r="C44" s="12">
        <v>321.71199999999999</v>
      </c>
      <c r="D44" s="10">
        <v>321.71199999999999</v>
      </c>
      <c r="E44" s="9">
        <f t="shared" si="0"/>
        <v>100</v>
      </c>
      <c r="F44" s="9">
        <f t="shared" si="1"/>
        <v>0</v>
      </c>
    </row>
    <row r="45" spans="1:7" ht="15" customHeight="1">
      <c r="A45" s="16">
        <v>2023000000</v>
      </c>
      <c r="B45" s="17" t="s">
        <v>23</v>
      </c>
      <c r="C45" s="12">
        <v>88.734999999999999</v>
      </c>
      <c r="D45" s="251">
        <v>88.734999999999999</v>
      </c>
      <c r="E45" s="9">
        <f t="shared" si="0"/>
        <v>100</v>
      </c>
      <c r="F45" s="9">
        <f t="shared" si="1"/>
        <v>0</v>
      </c>
    </row>
    <row r="46" spans="1:7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23.25" hidden="1" customHeight="1">
      <c r="A47" s="16">
        <v>2020900000</v>
      </c>
      <c r="B47" s="18" t="s">
        <v>25</v>
      </c>
      <c r="C47" s="12"/>
      <c r="D47" s="252"/>
      <c r="E47" s="9" t="e">
        <f t="shared" si="0"/>
        <v>#DIV/0!</v>
      </c>
      <c r="F47" s="9">
        <f t="shared" si="1"/>
        <v>0</v>
      </c>
    </row>
    <row r="48" spans="1:7" ht="23.2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27.75" hidden="1" customHeight="1">
      <c r="A49" s="3">
        <v>3000000000</v>
      </c>
      <c r="B49" s="13" t="s">
        <v>27</v>
      </c>
      <c r="C49" s="277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355</v>
      </c>
      <c r="C50" s="12">
        <v>33.1</v>
      </c>
      <c r="D50" s="10">
        <v>33.06</v>
      </c>
      <c r="E50" s="9">
        <f t="shared" si="0"/>
        <v>99.879154078549846</v>
      </c>
      <c r="F50" s="9">
        <f t="shared" si="1"/>
        <v>-3.9999999999999147E-2</v>
      </c>
    </row>
    <row r="51" spans="1:7" s="6" customFormat="1" ht="19.5" customHeight="1">
      <c r="A51" s="3"/>
      <c r="B51" s="4" t="s">
        <v>28</v>
      </c>
      <c r="C51" s="373">
        <f>C40+C41</f>
        <v>3476.33</v>
      </c>
      <c r="D51" s="374">
        <f>D40+D41</f>
        <v>3487.3638200000005</v>
      </c>
      <c r="E51" s="93">
        <f t="shared" si="0"/>
        <v>100.31739852085391</v>
      </c>
      <c r="F51" s="93">
        <f t="shared" si="1"/>
        <v>11.03382000000056</v>
      </c>
      <c r="G51" s="293"/>
    </row>
    <row r="52" spans="1:7" s="6" customFormat="1">
      <c r="A52" s="3"/>
      <c r="B52" s="21" t="s">
        <v>321</v>
      </c>
      <c r="C52" s="373">
        <f>C51-C97</f>
        <v>-73.666530000000421</v>
      </c>
      <c r="D52" s="373">
        <f>D51-D97</f>
        <v>37.278530000000956</v>
      </c>
      <c r="E52" s="22"/>
      <c r="F52" s="22"/>
    </row>
    <row r="53" spans="1:7">
      <c r="A53" s="23"/>
      <c r="B53" s="24"/>
      <c r="C53" s="250"/>
      <c r="D53" s="250"/>
      <c r="E53" s="26"/>
      <c r="F53" s="27"/>
    </row>
    <row r="54" spans="1:7" ht="46.5" customHeight="1">
      <c r="A54" s="28" t="s">
        <v>1</v>
      </c>
      <c r="B54" s="28" t="s">
        <v>29</v>
      </c>
      <c r="C54" s="243" t="s">
        <v>346</v>
      </c>
      <c r="D54" s="244" t="s">
        <v>415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6">
        <f>C57+C58+C59+C60+C61+C63+C62</f>
        <v>1330.1880000000001</v>
      </c>
      <c r="D56" s="33">
        <f>D57+D58+D59+D60+D61+D63+D62</f>
        <v>1308.39598</v>
      </c>
      <c r="E56" s="34">
        <f>SUM(D56/C56*100)</f>
        <v>98.361733830105209</v>
      </c>
      <c r="F56" s="34">
        <f>SUM(D56-C56)</f>
        <v>-21.792020000000093</v>
      </c>
    </row>
    <row r="57" spans="1:7" s="6" customFormat="1" ht="31.5" hidden="1">
      <c r="A57" s="35" t="s">
        <v>32</v>
      </c>
      <c r="B57" s="36" t="s">
        <v>33</v>
      </c>
      <c r="C57" s="37"/>
      <c r="D57" s="136"/>
      <c r="E57" s="38"/>
      <c r="F57" s="38"/>
    </row>
    <row r="58" spans="1:7" ht="18.75" customHeight="1">
      <c r="A58" s="35" t="s">
        <v>34</v>
      </c>
      <c r="B58" s="39" t="s">
        <v>35</v>
      </c>
      <c r="C58" s="37">
        <v>1310.2850000000001</v>
      </c>
      <c r="D58" s="37">
        <v>1293.5484799999999</v>
      </c>
      <c r="E58" s="38">
        <f t="shared" ref="E58:E97" si="3">SUM(D58/C58*100)</f>
        <v>98.722680943458855</v>
      </c>
      <c r="F58" s="38">
        <f t="shared" ref="F58:F97" si="4">SUM(D58-C58)</f>
        <v>-16.736520000000155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14.903</v>
      </c>
      <c r="D63" s="37">
        <v>14.8475</v>
      </c>
      <c r="E63" s="38">
        <f t="shared" si="3"/>
        <v>99.627591760048304</v>
      </c>
      <c r="F63" s="38">
        <f t="shared" si="4"/>
        <v>-5.5500000000000327E-2</v>
      </c>
    </row>
    <row r="64" spans="1:7" s="6" customFormat="1">
      <c r="A64" s="41" t="s">
        <v>46</v>
      </c>
      <c r="B64" s="42" t="s">
        <v>47</v>
      </c>
      <c r="C64" s="32">
        <f>C65</f>
        <v>85.376000000000005</v>
      </c>
      <c r="D64" s="32">
        <f>D65</f>
        <v>85.376000000000005</v>
      </c>
      <c r="E64" s="34">
        <f t="shared" si="3"/>
        <v>100</v>
      </c>
      <c r="F64" s="34">
        <f t="shared" si="4"/>
        <v>0</v>
      </c>
    </row>
    <row r="65" spans="1:7">
      <c r="A65" s="43" t="s">
        <v>48</v>
      </c>
      <c r="B65" s="44" t="s">
        <v>49</v>
      </c>
      <c r="C65" s="37">
        <v>85.376000000000005</v>
      </c>
      <c r="D65" s="37">
        <v>85.376000000000005</v>
      </c>
      <c r="E65" s="38">
        <f t="shared" si="3"/>
        <v>100</v>
      </c>
      <c r="F65" s="38">
        <f t="shared" si="4"/>
        <v>0</v>
      </c>
    </row>
    <row r="66" spans="1:7" s="6" customFormat="1" ht="18.75" customHeight="1">
      <c r="A66" s="30" t="s">
        <v>50</v>
      </c>
      <c r="B66" s="31" t="s">
        <v>51</v>
      </c>
      <c r="C66" s="32">
        <f>C69+C70</f>
        <v>4.25</v>
      </c>
      <c r="D66" s="32">
        <f>D69+D70</f>
        <v>4.25</v>
      </c>
      <c r="E66" s="34">
        <f t="shared" si="3"/>
        <v>100</v>
      </c>
      <c r="F66" s="34">
        <f t="shared" si="4"/>
        <v>0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56</v>
      </c>
      <c r="B69" s="47" t="s">
        <v>57</v>
      </c>
      <c r="C69" s="97">
        <v>0</v>
      </c>
      <c r="D69" s="37">
        <v>0</v>
      </c>
      <c r="E69" s="38" t="e">
        <f t="shared" si="3"/>
        <v>#DIV/0!</v>
      </c>
      <c r="F69" s="38">
        <f t="shared" si="4"/>
        <v>0</v>
      </c>
    </row>
    <row r="70" spans="1:7" ht="15.75" customHeight="1">
      <c r="A70" s="46" t="s">
        <v>219</v>
      </c>
      <c r="B70" s="47" t="s">
        <v>220</v>
      </c>
      <c r="C70" s="37">
        <v>4.25</v>
      </c>
      <c r="D70" s="37">
        <v>4.25</v>
      </c>
      <c r="E70" s="38">
        <f t="shared" si="3"/>
        <v>100</v>
      </c>
      <c r="F70" s="38">
        <f t="shared" si="4"/>
        <v>0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729.73253</v>
      </c>
      <c r="D71" s="48">
        <f>SUM(D72:D75)</f>
        <v>704.5656899999999</v>
      </c>
      <c r="E71" s="34">
        <f t="shared" si="3"/>
        <v>96.551224049173186</v>
      </c>
      <c r="F71" s="34">
        <f t="shared" si="4"/>
        <v>-25.166840000000093</v>
      </c>
    </row>
    <row r="72" spans="1:7" ht="15.75" customHeight="1">
      <c r="A72" s="35" t="s">
        <v>60</v>
      </c>
      <c r="B72" s="39" t="s">
        <v>61</v>
      </c>
      <c r="C72" s="49">
        <v>8.75</v>
      </c>
      <c r="D72" s="37">
        <v>8.75</v>
      </c>
      <c r="E72" s="38">
        <f t="shared" si="3"/>
        <v>100</v>
      </c>
      <c r="F72" s="38">
        <f t="shared" si="4"/>
        <v>0</v>
      </c>
    </row>
    <row r="73" spans="1:7" s="6" customFormat="1" ht="19.5" customHeight="1">
      <c r="A73" s="35" t="s">
        <v>62</v>
      </c>
      <c r="B73" s="39" t="s">
        <v>63</v>
      </c>
      <c r="C73" s="49">
        <v>101.26900000000001</v>
      </c>
      <c r="D73" s="37">
        <v>101.24473</v>
      </c>
      <c r="E73" s="38">
        <f t="shared" si="3"/>
        <v>99.976034126929264</v>
      </c>
      <c r="F73" s="38">
        <f t="shared" si="4"/>
        <v>-2.4270000000001346E-2</v>
      </c>
      <c r="G73" s="50"/>
    </row>
    <row r="74" spans="1:7">
      <c r="A74" s="35" t="s">
        <v>64</v>
      </c>
      <c r="B74" s="39" t="s">
        <v>65</v>
      </c>
      <c r="C74" s="49">
        <v>568.95153000000005</v>
      </c>
      <c r="D74" s="37">
        <v>543.89775999999995</v>
      </c>
      <c r="E74" s="38">
        <f t="shared" si="3"/>
        <v>95.596501867215281</v>
      </c>
      <c r="F74" s="38">
        <f t="shared" si="4"/>
        <v>-25.0537700000001</v>
      </c>
    </row>
    <row r="75" spans="1:7" ht="16.5" customHeight="1">
      <c r="A75" s="35" t="s">
        <v>66</v>
      </c>
      <c r="B75" s="39" t="s">
        <v>67</v>
      </c>
      <c r="C75" s="49">
        <v>50.762</v>
      </c>
      <c r="D75" s="37">
        <v>50.673200000000001</v>
      </c>
      <c r="E75" s="38">
        <f t="shared" si="3"/>
        <v>99.825065994247666</v>
      </c>
      <c r="F75" s="38">
        <f t="shared" si="4"/>
        <v>-8.8799999999999102E-2</v>
      </c>
    </row>
    <row r="76" spans="1:7" s="6" customFormat="1" ht="19.5" customHeight="1">
      <c r="A76" s="30" t="s">
        <v>68</v>
      </c>
      <c r="B76" s="31" t="s">
        <v>69</v>
      </c>
      <c r="C76" s="32">
        <f>SUM(C77:C79)</f>
        <v>525.65</v>
      </c>
      <c r="D76" s="32">
        <f>SUM(D77:D79)</f>
        <v>473.13261999999997</v>
      </c>
      <c r="E76" s="34">
        <f t="shared" si="3"/>
        <v>90.009059259963848</v>
      </c>
      <c r="F76" s="34">
        <f t="shared" si="4"/>
        <v>-52.517380000000003</v>
      </c>
    </row>
    <row r="77" spans="1:7" ht="18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8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>
      <c r="A79" s="35" t="s">
        <v>74</v>
      </c>
      <c r="B79" s="39" t="s">
        <v>75</v>
      </c>
      <c r="C79" s="37">
        <v>525.65</v>
      </c>
      <c r="D79" s="37">
        <v>473.13261999999997</v>
      </c>
      <c r="E79" s="38">
        <f t="shared" si="3"/>
        <v>90.009059259963848</v>
      </c>
      <c r="F79" s="38">
        <f t="shared" si="4"/>
        <v>-52.517380000000003</v>
      </c>
    </row>
    <row r="80" spans="1:7" s="6" customFormat="1">
      <c r="A80" s="30" t="s">
        <v>86</v>
      </c>
      <c r="B80" s="31" t="s">
        <v>87</v>
      </c>
      <c r="C80" s="32">
        <f>C81</f>
        <v>872.8</v>
      </c>
      <c r="D80" s="32">
        <f>SUM(D81)</f>
        <v>872.8</v>
      </c>
      <c r="E80" s="34">
        <f t="shared" si="3"/>
        <v>100</v>
      </c>
      <c r="F80" s="34">
        <f t="shared" si="4"/>
        <v>0</v>
      </c>
    </row>
    <row r="81" spans="1:6" ht="17.25" customHeight="1">
      <c r="A81" s="35" t="s">
        <v>88</v>
      </c>
      <c r="B81" s="39" t="s">
        <v>234</v>
      </c>
      <c r="C81" s="37">
        <v>872.8</v>
      </c>
      <c r="D81" s="37">
        <v>872.8</v>
      </c>
      <c r="E81" s="38">
        <f t="shared" si="3"/>
        <v>100</v>
      </c>
      <c r="F81" s="38">
        <f t="shared" si="4"/>
        <v>0</v>
      </c>
    </row>
    <row r="82" spans="1:6" s="6" customFormat="1" ht="21.7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8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7.2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2</v>
      </c>
      <c r="D87" s="32">
        <f>D88</f>
        <v>1.5649999999999999</v>
      </c>
      <c r="E87" s="38">
        <f t="shared" si="3"/>
        <v>78.25</v>
      </c>
      <c r="F87" s="22">
        <f>F88+F89+F90+F91+F92</f>
        <v>-0.43500000000000005</v>
      </c>
    </row>
    <row r="88" spans="1:6" ht="19.5" customHeight="1">
      <c r="A88" s="35" t="s">
        <v>97</v>
      </c>
      <c r="B88" s="39" t="s">
        <v>98</v>
      </c>
      <c r="C88" s="37">
        <v>2</v>
      </c>
      <c r="D88" s="37">
        <v>1.5649999999999999</v>
      </c>
      <c r="E88" s="38">
        <f t="shared" si="3"/>
        <v>78.25</v>
      </c>
      <c r="F88" s="38">
        <f>SUM(D88-C88)</f>
        <v>-0.43500000000000005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 t="s">
        <v>339</v>
      </c>
      <c r="E90" s="38" t="e">
        <f t="shared" si="3"/>
        <v>#VALUE!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5.7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15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5.7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5.75" hidden="1" customHeight="1">
      <c r="A96" s="53">
        <v>1403</v>
      </c>
      <c r="B96" s="54" t="s">
        <v>118</v>
      </c>
      <c r="C96" s="49">
        <v>0</v>
      </c>
      <c r="D96" s="37">
        <v>0</v>
      </c>
      <c r="E96" s="38" t="e">
        <f t="shared" si="3"/>
        <v>#DIV/0!</v>
      </c>
      <c r="F96" s="38">
        <f t="shared" si="4"/>
        <v>0</v>
      </c>
    </row>
    <row r="97" spans="1:7" s="6" customFormat="1" ht="15.75" customHeight="1">
      <c r="A97" s="52"/>
      <c r="B97" s="57" t="s">
        <v>119</v>
      </c>
      <c r="C97" s="377">
        <f>C56+C64+C66+C71+C76+C80+C82+C87+C93</f>
        <v>3549.9965300000003</v>
      </c>
      <c r="D97" s="377">
        <f>D56+D64+D66+D71+D76+D80+D82+D87+D93</f>
        <v>3450.0852899999995</v>
      </c>
      <c r="E97" s="34">
        <f t="shared" si="3"/>
        <v>97.185596122258715</v>
      </c>
      <c r="F97" s="34">
        <f t="shared" si="4"/>
        <v>-99.911240000000817</v>
      </c>
      <c r="G97" s="293"/>
    </row>
    <row r="98" spans="1:7">
      <c r="C98" s="126"/>
      <c r="D98" s="101"/>
    </row>
    <row r="99" spans="1:7" s="65" customFormat="1" ht="16.5" customHeight="1">
      <c r="A99" s="63" t="s">
        <v>120</v>
      </c>
      <c r="B99" s="63"/>
      <c r="C99" s="249"/>
      <c r="D99" s="249"/>
      <c r="E99" s="369"/>
    </row>
    <row r="100" spans="1:7" s="65" customFormat="1" ht="20.25" customHeight="1">
      <c r="A100" s="66" t="s">
        <v>121</v>
      </c>
      <c r="B100" s="66"/>
      <c r="C100" s="65" t="s">
        <v>122</v>
      </c>
    </row>
    <row r="101" spans="1:7" ht="13.5" customHeight="1">
      <c r="C101" s="120"/>
    </row>
    <row r="103" spans="1:7" ht="5.25" customHeight="1"/>
  </sheetData>
  <customSheetViews>
    <customSheetView guid="{487FB2A4-0730-401E-81DB-8304F8599D85}" hiddenRows="1" topLeftCell="A50">
      <selection activeCell="B100" sqref="B100"/>
      <pageMargins left="0.7" right="0.7" top="0.75" bottom="0.75" header="0.3" footer="0.3"/>
      <pageSetup paperSize="9" scale="52" orientation="portrait" r:id="rId1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2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3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4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B30CE22D-C12F-4E12-8BB9-3AAE0A6991CC}" scale="70" showPageBreaks="1" hiddenRows="1" view="pageBreakPreview" topLeftCell="A25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2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03"/>
  <sheetViews>
    <sheetView topLeftCell="A37" zoomScaleNormal="100" zoomScaleSheetLayoutView="70" workbookViewId="0">
      <selection activeCell="B100" sqref="B100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5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7" t="s">
        <v>430</v>
      </c>
      <c r="B1" s="517"/>
      <c r="C1" s="517"/>
      <c r="D1" s="517"/>
      <c r="E1" s="517"/>
      <c r="F1" s="517"/>
    </row>
    <row r="2" spans="1:6">
      <c r="A2" s="516"/>
      <c r="B2" s="516"/>
      <c r="C2" s="516"/>
      <c r="D2" s="516"/>
      <c r="E2" s="516"/>
      <c r="F2" s="516"/>
    </row>
    <row r="3" spans="1:6" ht="63">
      <c r="A3" s="2" t="s">
        <v>1</v>
      </c>
      <c r="B3" s="2" t="s">
        <v>2</v>
      </c>
      <c r="C3" s="72" t="s">
        <v>346</v>
      </c>
      <c r="D3" s="73" t="s">
        <v>419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727.76</v>
      </c>
      <c r="D4" s="5">
        <f>D5+D12+D14+D17+D7</f>
        <v>682.57107000000008</v>
      </c>
      <c r="E4" s="5">
        <f>SUM(D4/C4*100)</f>
        <v>93.790682367813574</v>
      </c>
      <c r="F4" s="5">
        <f>SUM(D4-C4)</f>
        <v>-45.188929999999914</v>
      </c>
    </row>
    <row r="5" spans="1:6" s="6" customFormat="1">
      <c r="A5" s="68">
        <v>1010000000</v>
      </c>
      <c r="B5" s="67" t="s">
        <v>6</v>
      </c>
      <c r="C5" s="5">
        <f>C6</f>
        <v>33.4</v>
      </c>
      <c r="D5" s="5">
        <f>D6</f>
        <v>39.935600000000001</v>
      </c>
      <c r="E5" s="5">
        <f t="shared" ref="E5:E51" si="0">SUM(D5/C5*100)</f>
        <v>119.56766467065869</v>
      </c>
      <c r="F5" s="5">
        <f t="shared" ref="F5:F51" si="1">SUM(D5-C5)</f>
        <v>6.5356000000000023</v>
      </c>
    </row>
    <row r="6" spans="1:6">
      <c r="A6" s="7">
        <v>1010200001</v>
      </c>
      <c r="B6" s="8" t="s">
        <v>229</v>
      </c>
      <c r="C6" s="9">
        <v>33.4</v>
      </c>
      <c r="D6" s="10">
        <v>39.935600000000001</v>
      </c>
      <c r="E6" s="9">
        <f t="shared" ref="E6:E11" si="2">SUM(D6/C6*100)</f>
        <v>119.56766467065869</v>
      </c>
      <c r="F6" s="9">
        <f t="shared" si="1"/>
        <v>6.5356000000000023</v>
      </c>
    </row>
    <row r="7" spans="1:6" ht="31.5">
      <c r="A7" s="3">
        <v>1030000000</v>
      </c>
      <c r="B7" s="13" t="s">
        <v>281</v>
      </c>
      <c r="C7" s="5">
        <f>C8+C10+C9</f>
        <v>322.36</v>
      </c>
      <c r="D7" s="5">
        <f>D8+D10+D9+D11</f>
        <v>343.05512000000004</v>
      </c>
      <c r="E7" s="5">
        <f t="shared" si="2"/>
        <v>106.41987839682344</v>
      </c>
      <c r="F7" s="5">
        <f t="shared" si="1"/>
        <v>20.695120000000031</v>
      </c>
    </row>
    <row r="8" spans="1:6">
      <c r="A8" s="7">
        <v>1030223001</v>
      </c>
      <c r="B8" s="8" t="s">
        <v>283</v>
      </c>
      <c r="C8" s="9">
        <v>120.24</v>
      </c>
      <c r="D8" s="10">
        <v>152.85343</v>
      </c>
      <c r="E8" s="9">
        <f t="shared" si="2"/>
        <v>127.12361111111112</v>
      </c>
      <c r="F8" s="9">
        <f t="shared" si="1"/>
        <v>32.613430000000008</v>
      </c>
    </row>
    <row r="9" spans="1:6">
      <c r="A9" s="7">
        <v>1030224001</v>
      </c>
      <c r="B9" s="8" t="s">
        <v>289</v>
      </c>
      <c r="C9" s="9">
        <v>1.29</v>
      </c>
      <c r="D9" s="10">
        <v>1.4721</v>
      </c>
      <c r="E9" s="9">
        <f t="shared" si="2"/>
        <v>114.11627906976744</v>
      </c>
      <c r="F9" s="9">
        <f t="shared" si="1"/>
        <v>0.18209999999999993</v>
      </c>
    </row>
    <row r="10" spans="1:6">
      <c r="A10" s="7">
        <v>1030225001</v>
      </c>
      <c r="B10" s="8" t="s">
        <v>282</v>
      </c>
      <c r="C10" s="9">
        <v>200.83</v>
      </c>
      <c r="D10" s="10">
        <v>222.97738000000001</v>
      </c>
      <c r="E10" s="9">
        <f t="shared" si="2"/>
        <v>111.02792411492305</v>
      </c>
      <c r="F10" s="9">
        <f t="shared" si="1"/>
        <v>22.147379999999998</v>
      </c>
    </row>
    <row r="11" spans="1:6">
      <c r="A11" s="7">
        <v>1030226001</v>
      </c>
      <c r="B11" s="8" t="s">
        <v>291</v>
      </c>
      <c r="C11" s="9">
        <v>0</v>
      </c>
      <c r="D11" s="10">
        <v>-34.247790000000002</v>
      </c>
      <c r="E11" s="9" t="e">
        <f t="shared" si="2"/>
        <v>#DIV/0!</v>
      </c>
      <c r="F11" s="9">
        <f t="shared" si="1"/>
        <v>-34.247790000000002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9.2697500000000002</v>
      </c>
      <c r="E12" s="5">
        <f t="shared" si="0"/>
        <v>92.697500000000005</v>
      </c>
      <c r="F12" s="5">
        <f t="shared" si="1"/>
        <v>-0.73024999999999984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9.2697500000000002</v>
      </c>
      <c r="E13" s="9">
        <f t="shared" si="0"/>
        <v>92.697500000000005</v>
      </c>
      <c r="F13" s="9">
        <f t="shared" si="1"/>
        <v>-0.73024999999999984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355</v>
      </c>
      <c r="D14" s="5">
        <f>D15+D16</f>
        <v>288.7106</v>
      </c>
      <c r="E14" s="5">
        <f t="shared" si="0"/>
        <v>81.326929577464796</v>
      </c>
      <c r="F14" s="5">
        <f t="shared" si="1"/>
        <v>-66.289400000000001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36.797069999999998</v>
      </c>
      <c r="E15" s="9">
        <f t="shared" si="0"/>
        <v>91.992674999999991</v>
      </c>
      <c r="F15" s="9">
        <f>SUM(D15-C15)</f>
        <v>-3.2029300000000021</v>
      </c>
    </row>
    <row r="16" spans="1:6" ht="15.75" customHeight="1">
      <c r="A16" s="7">
        <v>1060600000</v>
      </c>
      <c r="B16" s="11" t="s">
        <v>8</v>
      </c>
      <c r="C16" s="9">
        <v>315</v>
      </c>
      <c r="D16" s="10">
        <v>251.91353000000001</v>
      </c>
      <c r="E16" s="9">
        <f t="shared" si="0"/>
        <v>79.972549206349214</v>
      </c>
      <c r="F16" s="9">
        <f t="shared" si="1"/>
        <v>-63.086469999999991</v>
      </c>
    </row>
    <row r="17" spans="1:6" s="6" customFormat="1">
      <c r="A17" s="3">
        <v>1080000000</v>
      </c>
      <c r="B17" s="4" t="s">
        <v>11</v>
      </c>
      <c r="C17" s="5">
        <f>C18</f>
        <v>7</v>
      </c>
      <c r="D17" s="5">
        <f>D18</f>
        <v>1.6</v>
      </c>
      <c r="E17" s="5">
        <f t="shared" si="0"/>
        <v>22.857142857142858</v>
      </c>
      <c r="F17" s="5">
        <f t="shared" si="1"/>
        <v>-5.4</v>
      </c>
    </row>
    <row r="18" spans="1:6" ht="16.5" customHeight="1">
      <c r="A18" s="7">
        <v>1080400001</v>
      </c>
      <c r="B18" s="8" t="s">
        <v>228</v>
      </c>
      <c r="C18" s="9">
        <v>7</v>
      </c>
      <c r="D18" s="10">
        <v>1.6</v>
      </c>
      <c r="E18" s="9">
        <f t="shared" si="0"/>
        <v>22.857142857142858</v>
      </c>
      <c r="F18" s="9">
        <f t="shared" si="1"/>
        <v>-5.4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C26+C29+C31+C37+C34</f>
        <v>182</v>
      </c>
      <c r="D25" s="5">
        <f>D26+D29+D31+D37+D34</f>
        <v>128.16072</v>
      </c>
      <c r="E25" s="5">
        <f t="shared" si="0"/>
        <v>70.41797802197803</v>
      </c>
      <c r="F25" s="5">
        <f t="shared" si="1"/>
        <v>-53.839280000000002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132</v>
      </c>
      <c r="D26" s="5">
        <f>D27+D28</f>
        <v>100.5872</v>
      </c>
      <c r="E26" s="5">
        <f t="shared" si="0"/>
        <v>76.202424242424243</v>
      </c>
      <c r="F26" s="5">
        <f t="shared" si="1"/>
        <v>-31.412800000000004</v>
      </c>
    </row>
    <row r="27" spans="1:6">
      <c r="A27" s="16">
        <v>1110502510</v>
      </c>
      <c r="B27" s="17" t="s">
        <v>226</v>
      </c>
      <c r="C27" s="12">
        <v>115</v>
      </c>
      <c r="D27" s="10">
        <v>74.575999999999993</v>
      </c>
      <c r="E27" s="9">
        <f t="shared" si="0"/>
        <v>64.848695652173902</v>
      </c>
      <c r="F27" s="9">
        <f t="shared" si="1"/>
        <v>-40.424000000000007</v>
      </c>
    </row>
    <row r="28" spans="1:6" ht="18.75" customHeight="1">
      <c r="A28" s="7">
        <v>1110503505</v>
      </c>
      <c r="B28" s="11" t="s">
        <v>225</v>
      </c>
      <c r="C28" s="12">
        <v>17</v>
      </c>
      <c r="D28" s="10">
        <v>26.011199999999999</v>
      </c>
      <c r="E28" s="9">
        <f t="shared" si="0"/>
        <v>153.00705882352941</v>
      </c>
      <c r="F28" s="9">
        <f t="shared" si="1"/>
        <v>9.0111999999999988</v>
      </c>
    </row>
    <row r="29" spans="1:6" s="15" customFormat="1" ht="37.5" customHeight="1">
      <c r="A29" s="68">
        <v>1130000000</v>
      </c>
      <c r="B29" s="69" t="s">
        <v>131</v>
      </c>
      <c r="C29" s="5">
        <f>C30</f>
        <v>50</v>
      </c>
      <c r="D29" s="5">
        <f>D30</f>
        <v>21.386410000000001</v>
      </c>
      <c r="E29" s="5">
        <f t="shared" si="0"/>
        <v>42.772820000000003</v>
      </c>
      <c r="F29" s="5">
        <f t="shared" si="1"/>
        <v>-28.613589999999999</v>
      </c>
    </row>
    <row r="30" spans="1:6">
      <c r="A30" s="7">
        <v>1130206005</v>
      </c>
      <c r="B30" s="8" t="s">
        <v>224</v>
      </c>
      <c r="C30" s="9">
        <v>50</v>
      </c>
      <c r="D30" s="10">
        <v>21.386410000000001</v>
      </c>
      <c r="E30" s="9">
        <f t="shared" si="0"/>
        <v>42.772820000000003</v>
      </c>
      <c r="F30" s="9">
        <f t="shared" si="1"/>
        <v>-28.613589999999999</v>
      </c>
    </row>
    <row r="31" spans="1:6" ht="27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252</v>
      </c>
      <c r="C34" s="14">
        <f>C35+C36</f>
        <v>0</v>
      </c>
      <c r="D34" s="14">
        <f>D35+D36</f>
        <v>6.3152100000000004</v>
      </c>
      <c r="E34" s="5" t="e">
        <f t="shared" si="0"/>
        <v>#DIV/0!</v>
      </c>
      <c r="F34" s="5">
        <f t="shared" si="1"/>
        <v>6.3152100000000004</v>
      </c>
    </row>
    <row r="35" spans="1:7" ht="47.25">
      <c r="A35" s="7">
        <v>1163305010</v>
      </c>
      <c r="B35" s="8" t="s">
        <v>268</v>
      </c>
      <c r="C35" s="9">
        <v>0</v>
      </c>
      <c r="D35" s="10">
        <v>6.3064200000000001</v>
      </c>
      <c r="E35" s="9" t="e">
        <f t="shared" si="0"/>
        <v>#DIV/0!</v>
      </c>
      <c r="F35" s="9">
        <f t="shared" si="1"/>
        <v>6.3064200000000001</v>
      </c>
    </row>
    <row r="36" spans="1:7" ht="47.25">
      <c r="A36" s="7">
        <v>1169005010</v>
      </c>
      <c r="B36" s="8" t="s">
        <v>344</v>
      </c>
      <c r="C36" s="9">
        <v>0</v>
      </c>
      <c r="D36" s="10">
        <v>8.7899999999999992E-3</v>
      </c>
      <c r="E36" s="9" t="e">
        <f>SUM(D36/C36*100)</f>
        <v>#DIV/0!</v>
      </c>
      <c r="F36" s="9">
        <f>SUM(D36-C36)</f>
        <v>8.7899999999999992E-3</v>
      </c>
    </row>
    <row r="37" spans="1:7" ht="21" customHeight="1">
      <c r="A37" s="3">
        <v>1170000000</v>
      </c>
      <c r="B37" s="13" t="s">
        <v>135</v>
      </c>
      <c r="C37" s="5">
        <f>C38+C39</f>
        <v>0</v>
      </c>
      <c r="D37" s="5">
        <f>D38+D39</f>
        <v>-0.12809999999999999</v>
      </c>
      <c r="E37" s="5" t="e">
        <f t="shared" si="0"/>
        <v>#DIV/0!</v>
      </c>
      <c r="F37" s="5">
        <f t="shared" si="1"/>
        <v>-0.12809999999999999</v>
      </c>
    </row>
    <row r="38" spans="1:7" ht="17.2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221</v>
      </c>
      <c r="C39" s="9">
        <v>0</v>
      </c>
      <c r="D39" s="10">
        <v>-0.12809999999999999</v>
      </c>
      <c r="E39" s="9" t="e">
        <f t="shared" si="0"/>
        <v>#DIV/0!</v>
      </c>
      <c r="F39" s="9">
        <f t="shared" si="1"/>
        <v>-0.12809999999999999</v>
      </c>
    </row>
    <row r="40" spans="1:7" s="6" customFormat="1">
      <c r="A40" s="3">
        <v>1000000000</v>
      </c>
      <c r="B40" s="4" t="s">
        <v>19</v>
      </c>
      <c r="C40" s="127">
        <f>SUM(C4,C25)</f>
        <v>909.76</v>
      </c>
      <c r="D40" s="401">
        <f>D4+D25</f>
        <v>810.73179000000005</v>
      </c>
      <c r="E40" s="5">
        <f t="shared" si="0"/>
        <v>89.114908327470985</v>
      </c>
      <c r="F40" s="5">
        <f t="shared" si="1"/>
        <v>-99.028209999999945</v>
      </c>
    </row>
    <row r="41" spans="1:7" s="6" customFormat="1">
      <c r="A41" s="3">
        <v>2000000000</v>
      </c>
      <c r="B41" s="4" t="s">
        <v>20</v>
      </c>
      <c r="C41" s="5">
        <f>C42+C43+C44+C45+C46+C47+C50</f>
        <v>2574.85</v>
      </c>
      <c r="D41" s="343">
        <f>D42+D43+D44+D45+D46+D47+D50</f>
        <v>2574.85</v>
      </c>
      <c r="E41" s="5">
        <f t="shared" si="0"/>
        <v>100</v>
      </c>
      <c r="F41" s="5">
        <f t="shared" si="1"/>
        <v>0</v>
      </c>
      <c r="G41" s="19"/>
    </row>
    <row r="42" spans="1:7" ht="16.5" customHeight="1">
      <c r="A42" s="16">
        <v>2021000000</v>
      </c>
      <c r="B42" s="17" t="s">
        <v>21</v>
      </c>
      <c r="C42" s="12">
        <v>1243.7660000000001</v>
      </c>
      <c r="D42" s="12">
        <v>1243.7660000000001</v>
      </c>
      <c r="E42" s="9">
        <f t="shared" si="0"/>
        <v>100</v>
      </c>
      <c r="F42" s="9">
        <f t="shared" si="1"/>
        <v>0</v>
      </c>
    </row>
    <row r="43" spans="1:7" ht="15.75" customHeight="1">
      <c r="A43" s="16">
        <v>2021500200</v>
      </c>
      <c r="B43" s="17" t="s">
        <v>232</v>
      </c>
      <c r="C43" s="12">
        <v>400</v>
      </c>
      <c r="D43" s="20">
        <v>400</v>
      </c>
      <c r="E43" s="9">
        <f t="shared" si="0"/>
        <v>100</v>
      </c>
      <c r="F43" s="9">
        <f t="shared" si="1"/>
        <v>0</v>
      </c>
    </row>
    <row r="44" spans="1:7">
      <c r="A44" s="16">
        <v>2022000000</v>
      </c>
      <c r="B44" s="17" t="s">
        <v>22</v>
      </c>
      <c r="C44" s="12">
        <v>745.94799999999998</v>
      </c>
      <c r="D44" s="10">
        <v>745.94799999999998</v>
      </c>
      <c r="E44" s="9">
        <f t="shared" si="0"/>
        <v>100</v>
      </c>
      <c r="F44" s="9">
        <f t="shared" si="1"/>
        <v>0</v>
      </c>
    </row>
    <row r="45" spans="1:7" ht="15" customHeight="1">
      <c r="A45" s="16">
        <v>2023000000</v>
      </c>
      <c r="B45" s="17" t="s">
        <v>23</v>
      </c>
      <c r="C45" s="12">
        <v>88.036000000000001</v>
      </c>
      <c r="D45" s="251">
        <v>88.036000000000001</v>
      </c>
      <c r="E45" s="9">
        <f t="shared" si="0"/>
        <v>100</v>
      </c>
      <c r="F45" s="9">
        <f t="shared" si="1"/>
        <v>0</v>
      </c>
    </row>
    <row r="46" spans="1:7" ht="0.75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17.25" hidden="1" customHeight="1">
      <c r="A47" s="16">
        <v>2020900000</v>
      </c>
      <c r="B47" s="18" t="s">
        <v>25</v>
      </c>
      <c r="C47" s="12"/>
      <c r="D47" s="252"/>
      <c r="E47" s="9" t="e">
        <f t="shared" si="0"/>
        <v>#DIV/0!</v>
      </c>
      <c r="F47" s="9">
        <f t="shared" si="1"/>
        <v>0</v>
      </c>
    </row>
    <row r="48" spans="1:7" ht="17.25" hidden="1" customHeight="1">
      <c r="A48" s="16">
        <v>2080500010</v>
      </c>
      <c r="B48" s="18" t="s">
        <v>256</v>
      </c>
      <c r="C48" s="12"/>
      <c r="D48" s="252"/>
      <c r="E48" s="9"/>
      <c r="F48" s="9"/>
    </row>
    <row r="49" spans="1:7" s="6" customFormat="1" ht="17.25" hidden="1" customHeight="1">
      <c r="A49" s="3">
        <v>3000000000</v>
      </c>
      <c r="B49" s="13" t="s">
        <v>27</v>
      </c>
      <c r="C49" s="277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7.25" customHeight="1">
      <c r="A50" s="7">
        <v>2070500010</v>
      </c>
      <c r="B50" s="8" t="s">
        <v>355</v>
      </c>
      <c r="C50" s="12">
        <v>97.1</v>
      </c>
      <c r="D50" s="10">
        <v>97.1</v>
      </c>
      <c r="E50" s="9">
        <f t="shared" si="0"/>
        <v>100</v>
      </c>
      <c r="F50" s="9">
        <f t="shared" si="1"/>
        <v>0</v>
      </c>
    </row>
    <row r="51" spans="1:7" s="6" customFormat="1" ht="17.25" customHeight="1">
      <c r="A51" s="3"/>
      <c r="B51" s="4" t="s">
        <v>28</v>
      </c>
      <c r="C51" s="378">
        <f>C40+C41</f>
        <v>3484.6099999999997</v>
      </c>
      <c r="D51" s="379">
        <f>D40+D41</f>
        <v>3385.5817900000002</v>
      </c>
      <c r="E51" s="93">
        <f t="shared" si="0"/>
        <v>97.158126447436018</v>
      </c>
      <c r="F51" s="93">
        <f t="shared" si="1"/>
        <v>-99.02820999999949</v>
      </c>
      <c r="G51" s="94"/>
    </row>
    <row r="52" spans="1:7" s="6" customFormat="1" ht="16.5" customHeight="1">
      <c r="A52" s="3"/>
      <c r="B52" s="21" t="s">
        <v>322</v>
      </c>
      <c r="C52" s="378">
        <f>C51-C97</f>
        <v>53.393469999999979</v>
      </c>
      <c r="D52" s="378">
        <f>D51-D97</f>
        <v>99.229179999999815</v>
      </c>
      <c r="E52" s="281"/>
      <c r="F52" s="281"/>
    </row>
    <row r="53" spans="1:7">
      <c r="A53" s="23"/>
      <c r="B53" s="24"/>
      <c r="C53" s="326"/>
      <c r="D53" s="326"/>
      <c r="E53" s="26"/>
      <c r="F53" s="27"/>
    </row>
    <row r="54" spans="1:7" ht="32.25" customHeight="1">
      <c r="A54" s="28" t="s">
        <v>1</v>
      </c>
      <c r="B54" s="28" t="s">
        <v>29</v>
      </c>
      <c r="C54" s="248" t="s">
        <v>346</v>
      </c>
      <c r="D54" s="73" t="s">
        <v>415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3">
        <f>C57+C58+C59+C60+C61+C63+C62</f>
        <v>1160.6385</v>
      </c>
      <c r="D56" s="33">
        <f>D57+D58+D59+D60+D61+D63+D62</f>
        <v>1144.0828300000001</v>
      </c>
      <c r="E56" s="34">
        <f>SUM(D56/C56*100)</f>
        <v>98.573572219084582</v>
      </c>
      <c r="F56" s="34">
        <f>SUM(D56-C56)</f>
        <v>-16.555669999999964</v>
      </c>
    </row>
    <row r="57" spans="1:7" s="6" customFormat="1" ht="15.75" hidden="1" customHeight="1">
      <c r="A57" s="35" t="s">
        <v>32</v>
      </c>
      <c r="B57" s="36" t="s">
        <v>33</v>
      </c>
      <c r="C57" s="282"/>
      <c r="D57" s="282"/>
      <c r="E57" s="38"/>
      <c r="F57" s="38"/>
    </row>
    <row r="58" spans="1:7" ht="17.25" customHeight="1">
      <c r="A58" s="35" t="s">
        <v>34</v>
      </c>
      <c r="B58" s="39" t="s">
        <v>35</v>
      </c>
      <c r="C58" s="282">
        <v>1121.8440000000001</v>
      </c>
      <c r="D58" s="282">
        <v>1106.2883300000001</v>
      </c>
      <c r="E58" s="38">
        <f t="shared" ref="E58:E97" si="3">SUM(D58/C58*100)</f>
        <v>98.613383857292106</v>
      </c>
      <c r="F58" s="38">
        <f t="shared" ref="F58:F97" si="4">SUM(D58-C58)</f>
        <v>-15.555669999999964</v>
      </c>
    </row>
    <row r="59" spans="1:7" ht="17.25" hidden="1" customHeight="1">
      <c r="A59" s="35" t="s">
        <v>36</v>
      </c>
      <c r="B59" s="39" t="s">
        <v>37</v>
      </c>
      <c r="C59" s="282"/>
      <c r="D59" s="282"/>
      <c r="E59" s="38"/>
      <c r="F59" s="38">
        <f t="shared" si="4"/>
        <v>0</v>
      </c>
    </row>
    <row r="60" spans="1:7" ht="15.75" hidden="1" customHeight="1">
      <c r="A60" s="35" t="s">
        <v>38</v>
      </c>
      <c r="B60" s="39" t="s">
        <v>39</v>
      </c>
      <c r="C60" s="282"/>
      <c r="D60" s="282"/>
      <c r="E60" s="38" t="e">
        <f t="shared" si="3"/>
        <v>#DIV/0!</v>
      </c>
      <c r="F60" s="38">
        <f t="shared" si="4"/>
        <v>0</v>
      </c>
    </row>
    <row r="61" spans="1:7" ht="15" customHeight="1">
      <c r="A61" s="35" t="s">
        <v>40</v>
      </c>
      <c r="B61" s="39" t="s">
        <v>41</v>
      </c>
      <c r="C61" s="282">
        <v>32.152000000000001</v>
      </c>
      <c r="D61" s="282">
        <v>32.152000000000001</v>
      </c>
      <c r="E61" s="38">
        <f t="shared" si="3"/>
        <v>100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283">
        <v>1</v>
      </c>
      <c r="D62" s="283">
        <v>0</v>
      </c>
      <c r="E62" s="38">
        <f t="shared" si="3"/>
        <v>0</v>
      </c>
      <c r="F62" s="38">
        <f t="shared" si="4"/>
        <v>-1</v>
      </c>
    </row>
    <row r="63" spans="1:7" ht="19.5" customHeight="1">
      <c r="A63" s="35" t="s">
        <v>44</v>
      </c>
      <c r="B63" s="39" t="s">
        <v>45</v>
      </c>
      <c r="C63" s="282">
        <v>5.6425000000000001</v>
      </c>
      <c r="D63" s="282">
        <v>5.6425000000000001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3">
        <f>C65</f>
        <v>85.376999999999995</v>
      </c>
      <c r="D64" s="33">
        <f>D65</f>
        <v>85.376999999999995</v>
      </c>
      <c r="E64" s="34">
        <f t="shared" si="3"/>
        <v>100</v>
      </c>
      <c r="F64" s="34">
        <f t="shared" si="4"/>
        <v>0</v>
      </c>
    </row>
    <row r="65" spans="1:9">
      <c r="A65" s="43" t="s">
        <v>48</v>
      </c>
      <c r="B65" s="44" t="s">
        <v>49</v>
      </c>
      <c r="C65" s="282">
        <v>85.376999999999995</v>
      </c>
      <c r="D65" s="282">
        <v>85.376999999999995</v>
      </c>
      <c r="E65" s="38">
        <f t="shared" si="3"/>
        <v>100</v>
      </c>
      <c r="F65" s="38">
        <f t="shared" si="4"/>
        <v>0</v>
      </c>
    </row>
    <row r="66" spans="1:9" s="6" customFormat="1" ht="18" customHeight="1">
      <c r="A66" s="30" t="s">
        <v>50</v>
      </c>
      <c r="B66" s="31" t="s">
        <v>51</v>
      </c>
      <c r="C66" s="33">
        <f>C69+C70</f>
        <v>8</v>
      </c>
      <c r="D66" s="33">
        <f>D69+D70</f>
        <v>7.931</v>
      </c>
      <c r="E66" s="34">
        <f t="shared" si="3"/>
        <v>99.137500000000003</v>
      </c>
      <c r="F66" s="34">
        <f t="shared" si="4"/>
        <v>-6.899999999999995E-2</v>
      </c>
    </row>
    <row r="67" spans="1:9" ht="1.5" hidden="1" customHeight="1">
      <c r="A67" s="35" t="s">
        <v>52</v>
      </c>
      <c r="B67" s="39" t="s">
        <v>53</v>
      </c>
      <c r="C67" s="282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45" t="s">
        <v>54</v>
      </c>
      <c r="B68" s="39" t="s">
        <v>55</v>
      </c>
      <c r="C68" s="282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6" t="s">
        <v>56</v>
      </c>
      <c r="B69" s="47" t="s">
        <v>57</v>
      </c>
      <c r="C69" s="284">
        <v>0</v>
      </c>
      <c r="D69" s="33">
        <v>0</v>
      </c>
      <c r="E69" s="34" t="e">
        <f t="shared" si="3"/>
        <v>#DIV/0!</v>
      </c>
      <c r="F69" s="34">
        <f t="shared" si="4"/>
        <v>0</v>
      </c>
    </row>
    <row r="70" spans="1:9">
      <c r="A70" s="46" t="s">
        <v>219</v>
      </c>
      <c r="B70" s="47" t="s">
        <v>220</v>
      </c>
      <c r="C70" s="282">
        <v>8</v>
      </c>
      <c r="D70" s="282">
        <v>7.931</v>
      </c>
      <c r="E70" s="34">
        <f t="shared" si="3"/>
        <v>99.137500000000003</v>
      </c>
      <c r="F70" s="34">
        <f t="shared" si="4"/>
        <v>-6.899999999999995E-2</v>
      </c>
    </row>
    <row r="71" spans="1:9" s="6" customFormat="1" ht="17.25" customHeight="1">
      <c r="A71" s="30" t="s">
        <v>58</v>
      </c>
      <c r="B71" s="31" t="s">
        <v>59</v>
      </c>
      <c r="C71" s="33">
        <f>SUM(C72:C75)</f>
        <v>1270.33653</v>
      </c>
      <c r="D71" s="33">
        <f>SUM(D72:D75)</f>
        <v>1193.4031600000001</v>
      </c>
      <c r="E71" s="34">
        <f t="shared" si="3"/>
        <v>93.943859112671518</v>
      </c>
      <c r="F71" s="34">
        <f t="shared" si="4"/>
        <v>-76.933369999999968</v>
      </c>
      <c r="I71" s="108"/>
    </row>
    <row r="72" spans="1:9" ht="15.75" customHeight="1">
      <c r="A72" s="35" t="s">
        <v>60</v>
      </c>
      <c r="B72" s="39" t="s">
        <v>61</v>
      </c>
      <c r="C72" s="282">
        <v>7.5</v>
      </c>
      <c r="D72" s="282">
        <v>7.5</v>
      </c>
      <c r="E72" s="38">
        <f t="shared" si="3"/>
        <v>100</v>
      </c>
      <c r="F72" s="38">
        <f t="shared" si="4"/>
        <v>0</v>
      </c>
    </row>
    <row r="73" spans="1:9" s="6" customFormat="1" ht="19.5" customHeight="1">
      <c r="A73" s="35" t="s">
        <v>62</v>
      </c>
      <c r="B73" s="39" t="s">
        <v>63</v>
      </c>
      <c r="C73" s="282">
        <v>60</v>
      </c>
      <c r="D73" s="282">
        <v>50</v>
      </c>
      <c r="E73" s="38">
        <f t="shared" si="3"/>
        <v>83.333333333333343</v>
      </c>
      <c r="F73" s="38">
        <f t="shared" si="4"/>
        <v>-10</v>
      </c>
      <c r="G73" s="50"/>
    </row>
    <row r="74" spans="1:9">
      <c r="A74" s="35" t="s">
        <v>64</v>
      </c>
      <c r="B74" s="39" t="s">
        <v>65</v>
      </c>
      <c r="C74" s="282">
        <v>1130.0365300000001</v>
      </c>
      <c r="D74" s="282">
        <v>1129.4031600000001</v>
      </c>
      <c r="E74" s="38">
        <f t="shared" si="3"/>
        <v>99.943951369430508</v>
      </c>
      <c r="F74" s="38">
        <f t="shared" si="4"/>
        <v>-0.63337000000001353</v>
      </c>
    </row>
    <row r="75" spans="1:9">
      <c r="A75" s="35" t="s">
        <v>66</v>
      </c>
      <c r="B75" s="39" t="s">
        <v>67</v>
      </c>
      <c r="C75" s="282">
        <v>72.8</v>
      </c>
      <c r="D75" s="282">
        <v>6.5</v>
      </c>
      <c r="E75" s="38">
        <f t="shared" si="3"/>
        <v>8.9285714285714288</v>
      </c>
      <c r="F75" s="38">
        <f t="shared" si="4"/>
        <v>-66.3</v>
      </c>
    </row>
    <row r="76" spans="1:9" s="6" customFormat="1" ht="18" customHeight="1">
      <c r="A76" s="30" t="s">
        <v>68</v>
      </c>
      <c r="B76" s="31" t="s">
        <v>69</v>
      </c>
      <c r="C76" s="33">
        <f>SUM(C77:C79)</f>
        <v>208.36099999999999</v>
      </c>
      <c r="D76" s="33">
        <f>SUM(D77:D79)</f>
        <v>157.05761999999999</v>
      </c>
      <c r="E76" s="34">
        <f t="shared" si="3"/>
        <v>75.377647448418855</v>
      </c>
      <c r="F76" s="34">
        <f t="shared" si="4"/>
        <v>-51.303380000000004</v>
      </c>
    </row>
    <row r="77" spans="1:9" ht="15" hidden="1" customHeight="1">
      <c r="A77" s="35" t="s">
        <v>70</v>
      </c>
      <c r="B77" s="51" t="s">
        <v>71</v>
      </c>
      <c r="C77" s="282"/>
      <c r="D77" s="282"/>
      <c r="E77" s="38" t="e">
        <f t="shared" si="3"/>
        <v>#DIV/0!</v>
      </c>
      <c r="F77" s="38">
        <f t="shared" si="4"/>
        <v>0</v>
      </c>
    </row>
    <row r="78" spans="1:9" ht="18" hidden="1" customHeight="1">
      <c r="A78" s="35" t="s">
        <v>72</v>
      </c>
      <c r="B78" s="51" t="s">
        <v>73</v>
      </c>
      <c r="C78" s="282"/>
      <c r="D78" s="282"/>
      <c r="E78" s="38" t="e">
        <f t="shared" si="3"/>
        <v>#DIV/0!</v>
      </c>
      <c r="F78" s="38">
        <f t="shared" si="4"/>
        <v>0</v>
      </c>
    </row>
    <row r="79" spans="1:9">
      <c r="A79" s="35" t="s">
        <v>74</v>
      </c>
      <c r="B79" s="39" t="s">
        <v>75</v>
      </c>
      <c r="C79" s="282">
        <v>208.36099999999999</v>
      </c>
      <c r="D79" s="282">
        <v>157.05761999999999</v>
      </c>
      <c r="E79" s="38">
        <f t="shared" si="3"/>
        <v>75.377647448418855</v>
      </c>
      <c r="F79" s="38">
        <f t="shared" si="4"/>
        <v>-51.303380000000004</v>
      </c>
    </row>
    <row r="80" spans="1:9" s="6" customFormat="1">
      <c r="A80" s="30" t="s">
        <v>86</v>
      </c>
      <c r="B80" s="31" t="s">
        <v>87</v>
      </c>
      <c r="C80" s="33">
        <f>C81</f>
        <v>689.50350000000003</v>
      </c>
      <c r="D80" s="33">
        <f>SUM(D81)</f>
        <v>689.50300000000004</v>
      </c>
      <c r="E80" s="34">
        <f t="shared" si="3"/>
        <v>99.999927484051938</v>
      </c>
      <c r="F80" s="34">
        <f t="shared" si="4"/>
        <v>-4.9999999998817657E-4</v>
      </c>
    </row>
    <row r="81" spans="1:12" ht="15.75" customHeight="1">
      <c r="A81" s="35" t="s">
        <v>88</v>
      </c>
      <c r="B81" s="39" t="s">
        <v>234</v>
      </c>
      <c r="C81" s="282">
        <v>689.50350000000003</v>
      </c>
      <c r="D81" s="282">
        <v>689.50300000000004</v>
      </c>
      <c r="E81" s="38">
        <f t="shared" si="3"/>
        <v>99.999927484051938</v>
      </c>
      <c r="F81" s="38">
        <f t="shared" si="4"/>
        <v>-4.9999999998817657E-4</v>
      </c>
      <c r="L81" s="107"/>
    </row>
    <row r="82" spans="1:12" s="6" customFormat="1" hidden="1">
      <c r="A82" s="52">
        <v>1000</v>
      </c>
      <c r="B82" s="31" t="s">
        <v>89</v>
      </c>
      <c r="C82" s="33">
        <f>SUM(C83:C86)</f>
        <v>5</v>
      </c>
      <c r="D82" s="33">
        <f>SUM(D83:D86)</f>
        <v>5</v>
      </c>
      <c r="E82" s="34">
        <f>SUM(D82/C82*100)</f>
        <v>100</v>
      </c>
      <c r="F82" s="34">
        <f t="shared" si="4"/>
        <v>0</v>
      </c>
    </row>
    <row r="83" spans="1:12" hidden="1">
      <c r="A83" s="53">
        <v>1001</v>
      </c>
      <c r="B83" s="54" t="s">
        <v>90</v>
      </c>
      <c r="C83" s="282"/>
      <c r="D83" s="282"/>
      <c r="E83" s="353" t="e">
        <f>SUM(D83/C83*100)</f>
        <v>#DIV/0!</v>
      </c>
      <c r="F83" s="353">
        <f>SUM(D83-C83)</f>
        <v>0</v>
      </c>
    </row>
    <row r="84" spans="1:12" hidden="1">
      <c r="A84" s="53">
        <v>1003</v>
      </c>
      <c r="B84" s="54" t="s">
        <v>91</v>
      </c>
      <c r="C84" s="282"/>
      <c r="D84" s="282"/>
      <c r="E84" s="353" t="e">
        <f>SUM(D84/C84*100)</f>
        <v>#DIV/0!</v>
      </c>
      <c r="F84" s="353">
        <f>SUM(D84-C84)</f>
        <v>0</v>
      </c>
    </row>
    <row r="85" spans="1:12" hidden="1">
      <c r="A85" s="53">
        <v>1004</v>
      </c>
      <c r="B85" s="54" t="s">
        <v>92</v>
      </c>
      <c r="C85" s="282"/>
      <c r="D85" s="285"/>
      <c r="E85" s="353" t="e">
        <f>SUM(D85/C85*100)</f>
        <v>#DIV/0!</v>
      </c>
      <c r="F85" s="353">
        <f>SUM(D85-C85)</f>
        <v>0</v>
      </c>
    </row>
    <row r="86" spans="1:12" ht="15" hidden="1" customHeight="1">
      <c r="A86" s="35" t="s">
        <v>93</v>
      </c>
      <c r="B86" s="39" t="s">
        <v>94</v>
      </c>
      <c r="C86" s="282">
        <v>5</v>
      </c>
      <c r="D86" s="282">
        <v>5</v>
      </c>
      <c r="E86" s="353">
        <f>SUM(D86/C86*100)</f>
        <v>100</v>
      </c>
      <c r="F86" s="353">
        <f>SUM(D86-C86)</f>
        <v>0</v>
      </c>
    </row>
    <row r="87" spans="1:12" ht="19.5" customHeight="1">
      <c r="A87" s="30" t="s">
        <v>95</v>
      </c>
      <c r="B87" s="31" t="s">
        <v>96</v>
      </c>
      <c r="C87" s="33">
        <f>C88+C89+C90+C91+C92</f>
        <v>4</v>
      </c>
      <c r="D87" s="33">
        <f>D88+D89+D90+D91+D92</f>
        <v>3.9980000000000002</v>
      </c>
      <c r="E87" s="38">
        <f t="shared" si="3"/>
        <v>99.95</v>
      </c>
      <c r="F87" s="22">
        <f>F88+F89+F90+F91+F92</f>
        <v>-1.9999999999997797E-3</v>
      </c>
    </row>
    <row r="88" spans="1:12" ht="15.75" customHeight="1">
      <c r="A88" s="35" t="s">
        <v>97</v>
      </c>
      <c r="B88" s="39" t="s">
        <v>98</v>
      </c>
      <c r="C88" s="282">
        <v>4</v>
      </c>
      <c r="D88" s="282">
        <v>3.9980000000000002</v>
      </c>
      <c r="E88" s="38">
        <f t="shared" si="3"/>
        <v>99.95</v>
      </c>
      <c r="F88" s="38">
        <f>SUM(D88-C88)</f>
        <v>-1.9999999999997797E-3</v>
      </c>
    </row>
    <row r="89" spans="1:12" ht="0.75" hidden="1" customHeight="1">
      <c r="A89" s="35" t="s">
        <v>99</v>
      </c>
      <c r="B89" s="39" t="s">
        <v>100</v>
      </c>
      <c r="C89" s="282"/>
      <c r="D89" s="282">
        <v>0</v>
      </c>
      <c r="E89" s="38" t="e">
        <f t="shared" si="3"/>
        <v>#DIV/0!</v>
      </c>
      <c r="F89" s="38">
        <f>SUM(D89-C89)</f>
        <v>0</v>
      </c>
    </row>
    <row r="90" spans="1:12" ht="15.75" hidden="1" customHeight="1">
      <c r="A90" s="35" t="s">
        <v>101</v>
      </c>
      <c r="B90" s="39" t="s">
        <v>102</v>
      </c>
      <c r="C90" s="282"/>
      <c r="D90" s="282"/>
      <c r="E90" s="38" t="e">
        <f t="shared" si="3"/>
        <v>#DIV/0!</v>
      </c>
      <c r="F90" s="38"/>
    </row>
    <row r="91" spans="1:12" ht="3" hidden="1" customHeight="1">
      <c r="A91" s="35" t="s">
        <v>103</v>
      </c>
      <c r="B91" s="39" t="s">
        <v>104</v>
      </c>
      <c r="C91" s="282"/>
      <c r="D91" s="282"/>
      <c r="E91" s="38" t="e">
        <f t="shared" si="3"/>
        <v>#DIV/0!</v>
      </c>
      <c r="F91" s="38"/>
    </row>
    <row r="92" spans="1:12" ht="15" hidden="1" customHeight="1">
      <c r="A92" s="35" t="s">
        <v>105</v>
      </c>
      <c r="B92" s="39" t="s">
        <v>106</v>
      </c>
      <c r="C92" s="282"/>
      <c r="D92" s="282"/>
      <c r="E92" s="38" t="e">
        <f t="shared" si="3"/>
        <v>#DIV/0!</v>
      </c>
      <c r="F92" s="38"/>
    </row>
    <row r="93" spans="1:12" s="6" customFormat="1" ht="12" hidden="1" customHeight="1">
      <c r="A93" s="52">
        <v>1400</v>
      </c>
      <c r="B93" s="56" t="s">
        <v>115</v>
      </c>
      <c r="C93" s="33">
        <f>C94+C95+C96</f>
        <v>0</v>
      </c>
      <c r="D93" s="33">
        <f>SUM(D94:D96)</f>
        <v>0</v>
      </c>
      <c r="E93" s="34" t="e">
        <f t="shared" si="3"/>
        <v>#DIV/0!</v>
      </c>
      <c r="F93" s="34">
        <f t="shared" si="4"/>
        <v>0</v>
      </c>
    </row>
    <row r="94" spans="1:12" ht="15.75" hidden="1" customHeight="1">
      <c r="A94" s="53">
        <v>1401</v>
      </c>
      <c r="B94" s="54" t="s">
        <v>116</v>
      </c>
      <c r="C94" s="282"/>
      <c r="D94" s="282"/>
      <c r="E94" s="38" t="e">
        <f t="shared" si="3"/>
        <v>#DIV/0!</v>
      </c>
      <c r="F94" s="38">
        <f t="shared" si="4"/>
        <v>0</v>
      </c>
    </row>
    <row r="95" spans="1:12" hidden="1">
      <c r="A95" s="53">
        <v>1402</v>
      </c>
      <c r="B95" s="54" t="s">
        <v>117</v>
      </c>
      <c r="C95" s="282"/>
      <c r="D95" s="282"/>
      <c r="E95" s="38" t="e">
        <f t="shared" si="3"/>
        <v>#DIV/0!</v>
      </c>
      <c r="F95" s="38">
        <f t="shared" si="4"/>
        <v>0</v>
      </c>
    </row>
    <row r="96" spans="1:12" ht="23.25" hidden="1" customHeight="1">
      <c r="A96" s="53">
        <v>1403</v>
      </c>
      <c r="B96" s="54" t="s">
        <v>118</v>
      </c>
      <c r="C96" s="282"/>
      <c r="D96" s="282"/>
      <c r="E96" s="38" t="e">
        <f t="shared" si="3"/>
        <v>#DIV/0!</v>
      </c>
      <c r="F96" s="38">
        <f t="shared" si="4"/>
        <v>0</v>
      </c>
    </row>
    <row r="97" spans="1:7" s="6" customFormat="1" ht="16.5" customHeight="1">
      <c r="A97" s="52"/>
      <c r="B97" s="57" t="s">
        <v>119</v>
      </c>
      <c r="C97" s="380">
        <f>C56+C64+C66+C71+C76+C80+C87+C82</f>
        <v>3431.2165299999997</v>
      </c>
      <c r="D97" s="380">
        <f>D56+D64+D66+D71+D76+D80+D87+D82</f>
        <v>3286.3526100000004</v>
      </c>
      <c r="E97" s="34">
        <f t="shared" si="3"/>
        <v>95.778059509406731</v>
      </c>
      <c r="F97" s="34">
        <f t="shared" si="4"/>
        <v>-144.86391999999933</v>
      </c>
      <c r="G97" s="151"/>
    </row>
    <row r="98" spans="1:7" ht="20.25" customHeight="1">
      <c r="C98" s="126"/>
      <c r="D98" s="101"/>
    </row>
    <row r="99" spans="1:7" s="65" customFormat="1" ht="13.5" customHeight="1">
      <c r="A99" s="63" t="s">
        <v>120</v>
      </c>
      <c r="B99" s="63"/>
      <c r="C99" s="116"/>
      <c r="D99" s="64"/>
      <c r="E99" s="64"/>
    </row>
    <row r="100" spans="1:7" s="65" customFormat="1" ht="12.75">
      <c r="A100" s="66" t="s">
        <v>121</v>
      </c>
      <c r="B100" s="66"/>
      <c r="C100" s="134" t="s">
        <v>122</v>
      </c>
      <c r="D100" s="134"/>
    </row>
    <row r="101" spans="1:7">
      <c r="C101" s="120"/>
    </row>
    <row r="103" spans="1:7" ht="5.25" customHeight="1"/>
  </sheetData>
  <customSheetViews>
    <customSheetView guid="{487FB2A4-0730-401E-81DB-8304F8599D85}" hiddenRows="1" topLeftCell="A37">
      <selection activeCell="B100" sqref="B100"/>
      <pageMargins left="0.7" right="0.7" top="0.75" bottom="0.75" header="0.3" footer="0.3"/>
      <pageSetup paperSize="9" scale="54" orientation="portrait" r:id="rId1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2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3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4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5"/>
    </customSheetView>
    <customSheetView guid="{B30CE22D-C12F-4E12-8BB9-3AAE0A6991CC}" scale="70" showPageBreaks="1" hiddenRows="1" view="pageBreakPreview" topLeftCell="A29">
      <selection activeCell="D88" sqref="D88"/>
      <pageMargins left="0.70866141732283472" right="0.70866141732283472" top="0.74803149606299213" bottom="0.74803149606299213" header="0.31496062992125984" footer="0.31496062992125984"/>
      <pageSetup paperSize="9" scale="53" orientation="portrait" r:id="rId6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G102"/>
  <sheetViews>
    <sheetView topLeftCell="A25" zoomScaleNormal="100" zoomScaleSheetLayoutView="70" workbookViewId="0">
      <selection activeCell="D41" sqref="D41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6" t="s">
        <v>431</v>
      </c>
      <c r="B1" s="516"/>
      <c r="C1" s="516"/>
      <c r="D1" s="516"/>
      <c r="E1" s="516"/>
      <c r="F1" s="516"/>
    </row>
    <row r="2" spans="1:6">
      <c r="A2" s="516"/>
      <c r="B2" s="516"/>
      <c r="C2" s="516"/>
      <c r="D2" s="516"/>
      <c r="E2" s="516"/>
      <c r="F2" s="516"/>
    </row>
    <row r="3" spans="1:6" ht="63">
      <c r="A3" s="2" t="s">
        <v>1</v>
      </c>
      <c r="B3" s="2" t="s">
        <v>2</v>
      </c>
      <c r="C3" s="72" t="s">
        <v>346</v>
      </c>
      <c r="D3" s="73" t="s">
        <v>419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2425.41</v>
      </c>
      <c r="D4" s="5">
        <f>D5+D12+D14+D17+D7</f>
        <v>2856.0938300000003</v>
      </c>
      <c r="E4" s="5">
        <f>SUM(D4/C4*100)</f>
        <v>117.75715569738728</v>
      </c>
      <c r="F4" s="5">
        <f>SUM(D4-C4)</f>
        <v>430.6838300000004</v>
      </c>
    </row>
    <row r="5" spans="1:6" s="6" customFormat="1">
      <c r="A5" s="68">
        <v>1010000000</v>
      </c>
      <c r="B5" s="67" t="s">
        <v>6</v>
      </c>
      <c r="C5" s="5">
        <f>C6</f>
        <v>114.5</v>
      </c>
      <c r="D5" s="5">
        <f>D6</f>
        <v>124.56229</v>
      </c>
      <c r="E5" s="5">
        <f t="shared" ref="E5:E50" si="0">SUM(D5/C5*100)</f>
        <v>108.78802620087336</v>
      </c>
      <c r="F5" s="5">
        <f t="shared" ref="F5:F50" si="1">SUM(D5-C5)</f>
        <v>10.062290000000004</v>
      </c>
    </row>
    <row r="6" spans="1:6">
      <c r="A6" s="7">
        <v>1010200001</v>
      </c>
      <c r="B6" s="8" t="s">
        <v>229</v>
      </c>
      <c r="C6" s="9">
        <v>114.5</v>
      </c>
      <c r="D6" s="10">
        <v>124.56229</v>
      </c>
      <c r="E6" s="9">
        <f t="shared" ref="E6:E11" si="2">SUM(D6/C6*100)</f>
        <v>108.78802620087336</v>
      </c>
      <c r="F6" s="9">
        <f t="shared" si="1"/>
        <v>10.062290000000004</v>
      </c>
    </row>
    <row r="7" spans="1:6" ht="31.5">
      <c r="A7" s="3">
        <v>1030000000</v>
      </c>
      <c r="B7" s="13" t="s">
        <v>281</v>
      </c>
      <c r="C7" s="5">
        <f>C8+C10+C9</f>
        <v>497.40999999999997</v>
      </c>
      <c r="D7" s="5">
        <f>D8+D10+D9+D11</f>
        <v>529.34981000000005</v>
      </c>
      <c r="E7" s="5">
        <f t="shared" si="2"/>
        <v>106.42122394000926</v>
      </c>
      <c r="F7" s="5">
        <f t="shared" si="1"/>
        <v>31.93981000000008</v>
      </c>
    </row>
    <row r="8" spans="1:6">
      <c r="A8" s="7">
        <v>1030223001</v>
      </c>
      <c r="B8" s="8" t="s">
        <v>283</v>
      </c>
      <c r="C8" s="9">
        <v>185.53</v>
      </c>
      <c r="D8" s="10">
        <v>235.85991999999999</v>
      </c>
      <c r="E8" s="9">
        <f t="shared" si="2"/>
        <v>127.12764512477766</v>
      </c>
      <c r="F8" s="9">
        <f t="shared" si="1"/>
        <v>50.329919999999987</v>
      </c>
    </row>
    <row r="9" spans="1:6">
      <c r="A9" s="7">
        <v>1030224001</v>
      </c>
      <c r="B9" s="8" t="s">
        <v>289</v>
      </c>
      <c r="C9" s="9">
        <v>2</v>
      </c>
      <c r="D9" s="10">
        <v>2.2714799999999999</v>
      </c>
      <c r="E9" s="9">
        <f t="shared" si="2"/>
        <v>113.574</v>
      </c>
      <c r="F9" s="9">
        <f t="shared" si="1"/>
        <v>0.27147999999999994</v>
      </c>
    </row>
    <row r="10" spans="1:6">
      <c r="A10" s="7">
        <v>1030225001</v>
      </c>
      <c r="B10" s="8" t="s">
        <v>282</v>
      </c>
      <c r="C10" s="9">
        <v>309.88</v>
      </c>
      <c r="D10" s="10">
        <v>344.06441999999998</v>
      </c>
      <c r="E10" s="9">
        <f t="shared" si="2"/>
        <v>111.03150251710339</v>
      </c>
      <c r="F10" s="9">
        <f t="shared" si="1"/>
        <v>34.184419999999989</v>
      </c>
    </row>
    <row r="11" spans="1:6">
      <c r="A11" s="7">
        <v>1030226001</v>
      </c>
      <c r="B11" s="8" t="s">
        <v>291</v>
      </c>
      <c r="C11" s="9">
        <v>0</v>
      </c>
      <c r="D11" s="10">
        <v>-52.84601</v>
      </c>
      <c r="E11" s="9" t="e">
        <f t="shared" si="2"/>
        <v>#DIV/0!</v>
      </c>
      <c r="F11" s="9">
        <f t="shared" si="1"/>
        <v>-52.84601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42.170999999999999</v>
      </c>
      <c r="E12" s="5">
        <f t="shared" si="0"/>
        <v>105.42750000000001</v>
      </c>
      <c r="F12" s="5">
        <f t="shared" si="1"/>
        <v>2.1709999999999994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42.170999999999999</v>
      </c>
      <c r="E13" s="9">
        <f t="shared" si="0"/>
        <v>105.42750000000001</v>
      </c>
      <c r="F13" s="9">
        <f t="shared" si="1"/>
        <v>2.1709999999999994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1761.5</v>
      </c>
      <c r="D14" s="5">
        <f>D15+D16</f>
        <v>2151.3607299999999</v>
      </c>
      <c r="E14" s="5">
        <f t="shared" si="0"/>
        <v>122.13231507238149</v>
      </c>
      <c r="F14" s="5">
        <f t="shared" si="1"/>
        <v>389.86072999999988</v>
      </c>
    </row>
    <row r="15" spans="1:6" s="6" customFormat="1" ht="15.75" customHeight="1">
      <c r="A15" s="7">
        <v>1060100000</v>
      </c>
      <c r="B15" s="11" t="s">
        <v>9</v>
      </c>
      <c r="C15" s="9">
        <v>150</v>
      </c>
      <c r="D15" s="10">
        <v>249.72785999999999</v>
      </c>
      <c r="E15" s="9">
        <f t="shared" si="0"/>
        <v>166.48524</v>
      </c>
      <c r="F15" s="9">
        <f>SUM(D15-C15)</f>
        <v>99.727859999999993</v>
      </c>
    </row>
    <row r="16" spans="1:6" ht="15.75" customHeight="1">
      <c r="A16" s="7">
        <v>1060600000</v>
      </c>
      <c r="B16" s="11" t="s">
        <v>8</v>
      </c>
      <c r="C16" s="9">
        <v>1611.5</v>
      </c>
      <c r="D16" s="10">
        <v>1901.6328699999999</v>
      </c>
      <c r="E16" s="9">
        <f t="shared" si="0"/>
        <v>118.00390133416072</v>
      </c>
      <c r="F16" s="9">
        <f t="shared" si="1"/>
        <v>290.13286999999991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8.65</v>
      </c>
      <c r="E17" s="5">
        <f t="shared" si="0"/>
        <v>72.083333333333329</v>
      </c>
      <c r="F17" s="5">
        <f t="shared" si="1"/>
        <v>-3.3499999999999996</v>
      </c>
    </row>
    <row r="18" spans="1:6" ht="15" customHeight="1">
      <c r="A18" s="7">
        <v>1080400001</v>
      </c>
      <c r="B18" s="8" t="s">
        <v>228</v>
      </c>
      <c r="C18" s="9">
        <v>12</v>
      </c>
      <c r="D18" s="10">
        <v>8.65</v>
      </c>
      <c r="E18" s="9">
        <f t="shared" si="0"/>
        <v>72.083333333333329</v>
      </c>
      <c r="F18" s="9">
        <f t="shared" si="1"/>
        <v>-3.3499999999999996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300</v>
      </c>
      <c r="D25" s="5">
        <f>D26+D29+D31+D36+D34</f>
        <v>293.26715999999999</v>
      </c>
      <c r="E25" s="5">
        <f t="shared" si="0"/>
        <v>97.755719999999997</v>
      </c>
      <c r="F25" s="5">
        <f t="shared" si="1"/>
        <v>-6.7328400000000101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250</v>
      </c>
      <c r="D26" s="5">
        <f>D27+D28</f>
        <v>208.80280999999999</v>
      </c>
      <c r="E26" s="5">
        <f t="shared" si="0"/>
        <v>83.521124</v>
      </c>
      <c r="F26" s="5">
        <f t="shared" si="1"/>
        <v>-41.197190000000006</v>
      </c>
    </row>
    <row r="27" spans="1:6">
      <c r="A27" s="16">
        <v>1110502510</v>
      </c>
      <c r="B27" s="17" t="s">
        <v>226</v>
      </c>
      <c r="C27" s="12">
        <v>220</v>
      </c>
      <c r="D27" s="10">
        <v>169.17080999999999</v>
      </c>
      <c r="E27" s="9">
        <f t="shared" si="0"/>
        <v>76.895822727272716</v>
      </c>
      <c r="F27" s="9">
        <f t="shared" si="1"/>
        <v>-50.829190000000011</v>
      </c>
    </row>
    <row r="28" spans="1:6">
      <c r="A28" s="7">
        <v>1110503510</v>
      </c>
      <c r="B28" s="11" t="s">
        <v>225</v>
      </c>
      <c r="C28" s="12">
        <v>30</v>
      </c>
      <c r="D28" s="10">
        <v>39.631999999999998</v>
      </c>
      <c r="E28" s="9">
        <f t="shared" si="0"/>
        <v>132.10666666666665</v>
      </c>
      <c r="F28" s="9">
        <f t="shared" si="1"/>
        <v>9.6319999999999979</v>
      </c>
    </row>
    <row r="29" spans="1:6" s="15" customFormat="1" ht="19.5" customHeight="1">
      <c r="A29" s="68">
        <v>1130000000</v>
      </c>
      <c r="B29" s="69" t="s">
        <v>131</v>
      </c>
      <c r="C29" s="5">
        <f>C30</f>
        <v>50</v>
      </c>
      <c r="D29" s="5">
        <f>D30</f>
        <v>64.472380000000001</v>
      </c>
      <c r="E29" s="5">
        <f t="shared" si="0"/>
        <v>128.94476</v>
      </c>
      <c r="F29" s="5">
        <f t="shared" si="1"/>
        <v>14.472380000000001</v>
      </c>
    </row>
    <row r="30" spans="1:6" ht="21" customHeight="1">
      <c r="A30" s="7">
        <v>1130206510</v>
      </c>
      <c r="B30" s="8" t="s">
        <v>15</v>
      </c>
      <c r="C30" s="9">
        <v>50</v>
      </c>
      <c r="D30" s="10">
        <v>64.472380000000001</v>
      </c>
      <c r="E30" s="9">
        <f t="shared" si="0"/>
        <v>128.94476</v>
      </c>
      <c r="F30" s="9">
        <f t="shared" si="1"/>
        <v>14.472380000000001</v>
      </c>
    </row>
    <row r="31" spans="1:6" ht="25.5" customHeight="1">
      <c r="A31" s="70">
        <v>1140000000</v>
      </c>
      <c r="B31" s="71" t="s">
        <v>132</v>
      </c>
      <c r="C31" s="5">
        <f>C32+C33</f>
        <v>0</v>
      </c>
      <c r="D31" s="5">
        <f>D32+D33</f>
        <v>18.815999999999999</v>
      </c>
      <c r="E31" s="5" t="e">
        <f t="shared" si="0"/>
        <v>#DIV/0!</v>
      </c>
      <c r="F31" s="5">
        <f t="shared" si="1"/>
        <v>18.815999999999999</v>
      </c>
    </row>
    <row r="32" spans="1:6" ht="25.5" hidden="1" customHeight="1">
      <c r="A32" s="16">
        <v>1140200000</v>
      </c>
      <c r="B32" s="18" t="s">
        <v>133</v>
      </c>
      <c r="C32" s="9">
        <v>0</v>
      </c>
      <c r="D32" s="10">
        <v>18.815999999999999</v>
      </c>
      <c r="E32" s="9" t="e">
        <f t="shared" si="0"/>
        <v>#DIV/0!</v>
      </c>
      <c r="F32" s="9">
        <f t="shared" si="1"/>
        <v>18.815999999999999</v>
      </c>
    </row>
    <row r="33" spans="1:7" ht="27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9">
        <v>0</v>
      </c>
      <c r="D34" s="14">
        <f>D35</f>
        <v>1.17597</v>
      </c>
      <c r="E34" s="9" t="e">
        <f t="shared" si="0"/>
        <v>#DIV/0!</v>
      </c>
      <c r="F34" s="9">
        <f t="shared" si="1"/>
        <v>1.17597</v>
      </c>
    </row>
    <row r="35" spans="1:7" ht="47.25">
      <c r="A35" s="7">
        <v>1163305010</v>
      </c>
      <c r="B35" s="8" t="s">
        <v>268</v>
      </c>
      <c r="C35" s="9">
        <v>0</v>
      </c>
      <c r="D35" s="10">
        <v>1.17597</v>
      </c>
      <c r="E35" s="9" t="e">
        <f t="shared" si="0"/>
        <v>#DIV/0!</v>
      </c>
      <c r="F35" s="9">
        <f t="shared" si="1"/>
        <v>1.17597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18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19</v>
      </c>
      <c r="C39" s="127">
        <f>SUM(C4,C25)</f>
        <v>2725.41</v>
      </c>
      <c r="D39" s="127">
        <f>SUM(D4,D25)</f>
        <v>3149.3609900000001</v>
      </c>
      <c r="E39" s="5">
        <f t="shared" si="0"/>
        <v>115.55549403575978</v>
      </c>
      <c r="F39" s="5">
        <f t="shared" si="1"/>
        <v>423.95099000000027</v>
      </c>
    </row>
    <row r="40" spans="1:7" s="6" customFormat="1">
      <c r="A40" s="3">
        <v>2000000000</v>
      </c>
      <c r="B40" s="4" t="s">
        <v>20</v>
      </c>
      <c r="C40" s="343">
        <f>C41+C43+C44+C45+C46+C47+C48+C42</f>
        <v>2405.7549999999997</v>
      </c>
      <c r="D40" s="343">
        <f>SUM(D41:D48)</f>
        <v>2231.9215999999997</v>
      </c>
      <c r="E40" s="5">
        <f t="shared" si="0"/>
        <v>92.774268368973566</v>
      </c>
      <c r="F40" s="5">
        <f t="shared" si="1"/>
        <v>-173.83339999999998</v>
      </c>
      <c r="G40" s="19"/>
    </row>
    <row r="41" spans="1:7" ht="15" customHeight="1">
      <c r="A41" s="16">
        <v>2021000000</v>
      </c>
      <c r="B41" s="17" t="s">
        <v>21</v>
      </c>
      <c r="C41" s="12">
        <v>859.154</v>
      </c>
      <c r="D41" s="443">
        <v>859.154</v>
      </c>
      <c r="E41" s="9">
        <f t="shared" si="0"/>
        <v>100</v>
      </c>
      <c r="F41" s="9">
        <f t="shared" si="1"/>
        <v>0</v>
      </c>
    </row>
    <row r="42" spans="1:7" ht="15" customHeight="1">
      <c r="A42" s="16">
        <v>2021500200</v>
      </c>
      <c r="B42" s="17" t="s">
        <v>232</v>
      </c>
      <c r="C42" s="12">
        <v>100</v>
      </c>
      <c r="D42" s="20">
        <v>100</v>
      </c>
      <c r="E42" s="9">
        <f>SUM(D42/C42*100)</f>
        <v>100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480.14600000000002</v>
      </c>
      <c r="D43" s="10">
        <v>480.14600000000002</v>
      </c>
      <c r="E43" s="9">
        <f t="shared" si="0"/>
        <v>100</v>
      </c>
      <c r="F43" s="9">
        <f t="shared" si="1"/>
        <v>0</v>
      </c>
    </row>
    <row r="44" spans="1:7" ht="18.75" customHeight="1">
      <c r="A44" s="16">
        <v>2023000000</v>
      </c>
      <c r="B44" s="17" t="s">
        <v>23</v>
      </c>
      <c r="C44" s="12">
        <v>86.355000000000004</v>
      </c>
      <c r="D44" s="251">
        <v>86.355000000000004</v>
      </c>
      <c r="E44" s="9">
        <f t="shared" si="0"/>
        <v>100</v>
      </c>
      <c r="F44" s="9">
        <f t="shared" si="1"/>
        <v>0</v>
      </c>
    </row>
    <row r="45" spans="1:7" ht="17.25" customHeight="1">
      <c r="A45" s="16">
        <v>2020400000</v>
      </c>
      <c r="B45" s="17" t="s">
        <v>24</v>
      </c>
      <c r="C45" s="12">
        <v>840</v>
      </c>
      <c r="D45" s="252">
        <v>840</v>
      </c>
      <c r="E45" s="9">
        <f t="shared" si="0"/>
        <v>100</v>
      </c>
      <c r="F45" s="9">
        <f t="shared" si="1"/>
        <v>0</v>
      </c>
    </row>
    <row r="46" spans="1:7" ht="16.5" customHeight="1">
      <c r="A46" s="16">
        <v>2020900000</v>
      </c>
      <c r="B46" s="18" t="s">
        <v>25</v>
      </c>
      <c r="C46" s="12"/>
      <c r="D46" s="252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26</v>
      </c>
      <c r="C47" s="10">
        <v>0</v>
      </c>
      <c r="D47" s="445">
        <v>-350.32100000000003</v>
      </c>
      <c r="E47" s="5" t="e">
        <f t="shared" si="0"/>
        <v>#DIV/0!</v>
      </c>
      <c r="F47" s="5">
        <f>SUM(D47-C47)</f>
        <v>-350.32100000000003</v>
      </c>
    </row>
    <row r="48" spans="1:7" ht="18" customHeight="1">
      <c r="A48" s="7">
        <v>2070502010</v>
      </c>
      <c r="B48" s="11" t="s">
        <v>303</v>
      </c>
      <c r="C48" s="10">
        <v>40.1</v>
      </c>
      <c r="D48" s="10">
        <v>216.58760000000001</v>
      </c>
      <c r="E48" s="9">
        <f>SUM(D48/C48*100)</f>
        <v>540.11870324189533</v>
      </c>
      <c r="F48" s="9">
        <f>SUM(D48-C48)</f>
        <v>176.48760000000001</v>
      </c>
    </row>
    <row r="49" spans="1:7" s="6" customFormat="1" hidden="1">
      <c r="A49" s="354">
        <v>2190000010</v>
      </c>
      <c r="B49" s="355" t="s">
        <v>26</v>
      </c>
      <c r="C49" s="12">
        <v>0</v>
      </c>
      <c r="D49" s="10">
        <v>-350.32100000000003</v>
      </c>
      <c r="E49" s="9" t="e">
        <f t="shared" si="0"/>
        <v>#DIV/0!</v>
      </c>
      <c r="F49" s="9">
        <f t="shared" si="1"/>
        <v>-350.32100000000003</v>
      </c>
    </row>
    <row r="50" spans="1:7" s="6" customFormat="1" ht="19.5" customHeight="1">
      <c r="A50" s="3"/>
      <c r="B50" s="4" t="s">
        <v>28</v>
      </c>
      <c r="C50" s="373">
        <f>C39+C40</f>
        <v>5131.1649999999991</v>
      </c>
      <c r="D50" s="374">
        <f>D39+D40</f>
        <v>5381.2825899999998</v>
      </c>
      <c r="E50" s="5">
        <f t="shared" si="0"/>
        <v>104.87447957725003</v>
      </c>
      <c r="F50" s="5">
        <f t="shared" si="1"/>
        <v>250.11759000000075</v>
      </c>
      <c r="G50" s="94">
        <f>D50-3357.50667</f>
        <v>2023.7759199999996</v>
      </c>
    </row>
    <row r="51" spans="1:7" s="6" customFormat="1">
      <c r="A51" s="3"/>
      <c r="B51" s="21" t="s">
        <v>321</v>
      </c>
      <c r="C51" s="373">
        <f>C50-C96</f>
        <v>-646.64892000000236</v>
      </c>
      <c r="D51" s="373">
        <f>D50-D96</f>
        <v>-184.4036700000006</v>
      </c>
      <c r="E51" s="22"/>
      <c r="F51" s="22"/>
    </row>
    <row r="52" spans="1:7">
      <c r="A52" s="23"/>
      <c r="B52" s="24"/>
      <c r="C52" s="351"/>
      <c r="D52" s="351" t="s">
        <v>337</v>
      </c>
      <c r="E52" s="26"/>
      <c r="F52" s="92"/>
    </row>
    <row r="53" spans="1:7" ht="50.25" customHeight="1">
      <c r="A53" s="28" t="s">
        <v>1</v>
      </c>
      <c r="B53" s="28" t="s">
        <v>29</v>
      </c>
      <c r="C53" s="243" t="s">
        <v>346</v>
      </c>
      <c r="D53" s="244" t="s">
        <v>415</v>
      </c>
      <c r="E53" s="72" t="s">
        <v>3</v>
      </c>
      <c r="F53" s="74" t="s">
        <v>4</v>
      </c>
    </row>
    <row r="54" spans="1:7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7" s="6" customFormat="1" ht="30.75" customHeight="1">
      <c r="A55" s="30" t="s">
        <v>30</v>
      </c>
      <c r="B55" s="31" t="s">
        <v>31</v>
      </c>
      <c r="C55" s="246">
        <f>C56+C57+C58+C59+C60+C62+C61</f>
        <v>1565.0640000000001</v>
      </c>
      <c r="D55" s="32">
        <f>D56+D57+D58+D59+D60+D62+D61</f>
        <v>1535.4399900000001</v>
      </c>
      <c r="E55" s="34">
        <f>SUM(D55/C55*100)</f>
        <v>98.107169419269752</v>
      </c>
      <c r="F55" s="34">
        <f>SUM(D55-C55)</f>
        <v>-29.624009999999998</v>
      </c>
    </row>
    <row r="56" spans="1:7" s="6" customFormat="1" ht="31.5" hidden="1">
      <c r="A56" s="35" t="s">
        <v>32</v>
      </c>
      <c r="B56" s="36" t="s">
        <v>33</v>
      </c>
      <c r="C56" s="37"/>
      <c r="D56" s="37"/>
      <c r="E56" s="34" t="e">
        <f>SUM(D56/C56*100)</f>
        <v>#DIV/0!</v>
      </c>
      <c r="F56" s="38"/>
    </row>
    <row r="57" spans="1:7" ht="15" customHeight="1">
      <c r="A57" s="35" t="s">
        <v>34</v>
      </c>
      <c r="B57" s="39" t="s">
        <v>35</v>
      </c>
      <c r="C57" s="37">
        <v>1549.838</v>
      </c>
      <c r="D57" s="37">
        <v>1525.2414900000001</v>
      </c>
      <c r="E57" s="34">
        <f>SUM(D57/C57*100)</f>
        <v>98.412962516082331</v>
      </c>
      <c r="F57" s="38">
        <f t="shared" ref="F57:F96" si="3">SUM(D57-C57)</f>
        <v>-24.596509999999853</v>
      </c>
    </row>
    <row r="58" spans="1:7" ht="16.5" hidden="1" customHeight="1">
      <c r="A58" s="35" t="s">
        <v>36</v>
      </c>
      <c r="B58" s="39" t="s">
        <v>37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7" ht="31.5" hidden="1" customHeight="1">
      <c r="A59" s="35" t="s">
        <v>38</v>
      </c>
      <c r="B59" s="39" t="s">
        <v>39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7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ref="E60:E96" si="4">SUM(D60/C60*100)</f>
        <v>#DIV/0!</v>
      </c>
      <c r="F60" s="38">
        <f t="shared" si="3"/>
        <v>0</v>
      </c>
    </row>
    <row r="61" spans="1:7">
      <c r="A61" s="35" t="s">
        <v>42</v>
      </c>
      <c r="B61" s="39" t="s">
        <v>43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7" ht="19.5" customHeight="1">
      <c r="A62" s="35" t="s">
        <v>44</v>
      </c>
      <c r="B62" s="39" t="s">
        <v>45</v>
      </c>
      <c r="C62" s="37">
        <v>10.226000000000001</v>
      </c>
      <c r="D62" s="37">
        <v>10.198499999999999</v>
      </c>
      <c r="E62" s="38">
        <f t="shared" si="4"/>
        <v>99.731077645218065</v>
      </c>
      <c r="F62" s="38">
        <f t="shared" si="3"/>
        <v>-2.7500000000001634E-2</v>
      </c>
    </row>
    <row r="63" spans="1:7" s="6" customFormat="1">
      <c r="A63" s="41" t="s">
        <v>46</v>
      </c>
      <c r="B63" s="42" t="s">
        <v>47</v>
      </c>
      <c r="C63" s="32">
        <f>C64</f>
        <v>85.376000000000005</v>
      </c>
      <c r="D63" s="32">
        <f>D64</f>
        <v>85.376000000000005</v>
      </c>
      <c r="E63" s="34">
        <f t="shared" si="4"/>
        <v>100</v>
      </c>
      <c r="F63" s="34">
        <f t="shared" si="3"/>
        <v>0</v>
      </c>
    </row>
    <row r="64" spans="1:7">
      <c r="A64" s="43" t="s">
        <v>48</v>
      </c>
      <c r="B64" s="44" t="s">
        <v>49</v>
      </c>
      <c r="C64" s="37">
        <v>85.376000000000005</v>
      </c>
      <c r="D64" s="37">
        <v>85.376000000000005</v>
      </c>
      <c r="E64" s="38">
        <f t="shared" si="4"/>
        <v>100</v>
      </c>
      <c r="F64" s="38">
        <f t="shared" si="3"/>
        <v>0</v>
      </c>
    </row>
    <row r="65" spans="1:7" s="6" customFormat="1" ht="21" customHeight="1">
      <c r="A65" s="30" t="s">
        <v>50</v>
      </c>
      <c r="B65" s="31" t="s">
        <v>51</v>
      </c>
      <c r="C65" s="32">
        <f>C68+C69</f>
        <v>193.8</v>
      </c>
      <c r="D65" s="32">
        <f>D68+D69</f>
        <v>192.83510999999999</v>
      </c>
      <c r="E65" s="34">
        <f t="shared" si="4"/>
        <v>99.502120743034041</v>
      </c>
      <c r="F65" s="34">
        <f t="shared" si="3"/>
        <v>-0.96489000000002534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4"/>
        <v>#DIV/0!</v>
      </c>
      <c r="F68" s="34">
        <f t="shared" si="3"/>
        <v>0</v>
      </c>
    </row>
    <row r="69" spans="1:7">
      <c r="A69" s="46" t="s">
        <v>219</v>
      </c>
      <c r="B69" s="47" t="s">
        <v>220</v>
      </c>
      <c r="C69" s="37">
        <v>193.8</v>
      </c>
      <c r="D69" s="37">
        <v>192.83510999999999</v>
      </c>
      <c r="E69" s="34">
        <f t="shared" si="4"/>
        <v>99.502120743034041</v>
      </c>
      <c r="F69" s="34">
        <f t="shared" si="3"/>
        <v>-0.96489000000002534</v>
      </c>
    </row>
    <row r="70" spans="1:7" s="6" customFormat="1" ht="17.25" customHeight="1">
      <c r="A70" s="30" t="s">
        <v>58</v>
      </c>
      <c r="B70" s="31" t="s">
        <v>59</v>
      </c>
      <c r="C70" s="48">
        <f>SUM(C71:C74)</f>
        <v>2055.1359200000002</v>
      </c>
      <c r="D70" s="48">
        <f>SUM(D71:D74)</f>
        <v>1944.98116</v>
      </c>
      <c r="E70" s="34">
        <f t="shared" si="4"/>
        <v>94.640025560937104</v>
      </c>
      <c r="F70" s="34">
        <f t="shared" si="3"/>
        <v>-110.15476000000012</v>
      </c>
    </row>
    <row r="71" spans="1:7">
      <c r="A71" s="35" t="s">
        <v>60</v>
      </c>
      <c r="B71" s="39" t="s">
        <v>61</v>
      </c>
      <c r="C71" s="49">
        <v>2.5</v>
      </c>
      <c r="D71" s="37">
        <v>2.5</v>
      </c>
      <c r="E71" s="38">
        <f t="shared" si="4"/>
        <v>100</v>
      </c>
      <c r="F71" s="38">
        <f t="shared" si="3"/>
        <v>0</v>
      </c>
    </row>
    <row r="72" spans="1:7" s="6" customFormat="1">
      <c r="A72" s="35" t="s">
        <v>62</v>
      </c>
      <c r="B72" s="39" t="s">
        <v>63</v>
      </c>
      <c r="C72" s="49">
        <v>908.32899999999995</v>
      </c>
      <c r="D72" s="37">
        <v>828.79823999999996</v>
      </c>
      <c r="E72" s="38">
        <f t="shared" si="4"/>
        <v>91.244278229584225</v>
      </c>
      <c r="F72" s="38">
        <f t="shared" si="3"/>
        <v>-79.530759999999987</v>
      </c>
      <c r="G72" s="50"/>
    </row>
    <row r="73" spans="1:7">
      <c r="A73" s="35" t="s">
        <v>64</v>
      </c>
      <c r="B73" s="39" t="s">
        <v>65</v>
      </c>
      <c r="C73" s="49">
        <f>1035.39892</f>
        <v>1035.3989200000001</v>
      </c>
      <c r="D73" s="37">
        <v>1004.78292</v>
      </c>
      <c r="E73" s="38">
        <f t="shared" si="4"/>
        <v>97.04307205574446</v>
      </c>
      <c r="F73" s="38">
        <f t="shared" si="3"/>
        <v>-30.616000000000099</v>
      </c>
    </row>
    <row r="74" spans="1:7">
      <c r="A74" s="35" t="s">
        <v>66</v>
      </c>
      <c r="B74" s="39" t="s">
        <v>67</v>
      </c>
      <c r="C74" s="49">
        <v>108.908</v>
      </c>
      <c r="D74" s="37">
        <v>108.9</v>
      </c>
      <c r="E74" s="38">
        <f t="shared" si="4"/>
        <v>99.992654350460938</v>
      </c>
      <c r="F74" s="38">
        <f t="shared" si="3"/>
        <v>-7.9999999999955662E-3</v>
      </c>
    </row>
    <row r="75" spans="1:7" s="6" customFormat="1" ht="16.5" customHeight="1">
      <c r="A75" s="30" t="s">
        <v>68</v>
      </c>
      <c r="B75" s="31" t="s">
        <v>69</v>
      </c>
      <c r="C75" s="32">
        <f>SUM(C76:C78)</f>
        <v>928.19799999999998</v>
      </c>
      <c r="D75" s="32">
        <f>SUM(D76:D78)</f>
        <v>858.15302999999994</v>
      </c>
      <c r="E75" s="34">
        <f t="shared" si="4"/>
        <v>92.453660749107399</v>
      </c>
      <c r="F75" s="34">
        <f t="shared" si="3"/>
        <v>-70.044970000000035</v>
      </c>
    </row>
    <row r="76" spans="1:7" ht="0.75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7.25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>
      <c r="A78" s="35" t="s">
        <v>74</v>
      </c>
      <c r="B78" s="39" t="s">
        <v>75</v>
      </c>
      <c r="C78" s="37">
        <v>928.19799999999998</v>
      </c>
      <c r="D78" s="37">
        <v>858.15302999999994</v>
      </c>
      <c r="E78" s="38">
        <f t="shared" si="4"/>
        <v>92.453660749107399</v>
      </c>
      <c r="F78" s="38">
        <f t="shared" si="3"/>
        <v>-70.044970000000035</v>
      </c>
    </row>
    <row r="79" spans="1:7" s="6" customFormat="1">
      <c r="A79" s="30" t="s">
        <v>86</v>
      </c>
      <c r="B79" s="31" t="s">
        <v>87</v>
      </c>
      <c r="C79" s="32">
        <f>C80</f>
        <v>945.6</v>
      </c>
      <c r="D79" s="32">
        <f>SUM(D80)</f>
        <v>944.26097000000004</v>
      </c>
      <c r="E79" s="34">
        <f t="shared" si="4"/>
        <v>99.858393612521155</v>
      </c>
      <c r="F79" s="34">
        <f t="shared" si="3"/>
        <v>-1.3390299999999797</v>
      </c>
    </row>
    <row r="80" spans="1:7" ht="15.75" customHeight="1">
      <c r="A80" s="35" t="s">
        <v>88</v>
      </c>
      <c r="B80" s="39" t="s">
        <v>234</v>
      </c>
      <c r="C80" s="37">
        <v>945.6</v>
      </c>
      <c r="D80" s="37">
        <v>944.26097000000004</v>
      </c>
      <c r="E80" s="38">
        <f t="shared" si="4"/>
        <v>99.858393612521155</v>
      </c>
      <c r="F80" s="38">
        <f t="shared" si="3"/>
        <v>-1.3390299999999797</v>
      </c>
    </row>
    <row r="81" spans="1:7" s="6" customFormat="1" ht="0.7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7" ht="0.75" hidden="1" customHeight="1">
      <c r="A82" s="53">
        <v>1001</v>
      </c>
      <c r="B82" s="54" t="s">
        <v>90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7" hidden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7" hidden="1">
      <c r="A84" s="53">
        <v>1004</v>
      </c>
      <c r="B84" s="54" t="s">
        <v>92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7" hidden="1">
      <c r="A85" s="35" t="s">
        <v>93</v>
      </c>
      <c r="B85" s="39" t="s">
        <v>94</v>
      </c>
      <c r="C85" s="37">
        <v>0</v>
      </c>
      <c r="D85" s="37">
        <v>0</v>
      </c>
      <c r="E85" s="38"/>
      <c r="F85" s="38">
        <f t="shared" si="3"/>
        <v>0</v>
      </c>
    </row>
    <row r="86" spans="1:7">
      <c r="A86" s="30" t="s">
        <v>95</v>
      </c>
      <c r="B86" s="31" t="s">
        <v>96</v>
      </c>
      <c r="C86" s="32">
        <f>C87+C88+C89+C90+C91</f>
        <v>4.6399999999999997</v>
      </c>
      <c r="D86" s="32">
        <f>D87+D88+D89+D90+D91</f>
        <v>4.6399999999999997</v>
      </c>
      <c r="E86" s="38">
        <f t="shared" si="4"/>
        <v>100</v>
      </c>
      <c r="F86" s="22">
        <f>F87+F88+F89+F90+F91</f>
        <v>0</v>
      </c>
    </row>
    <row r="87" spans="1:7" ht="17.25" customHeight="1">
      <c r="A87" s="35" t="s">
        <v>97</v>
      </c>
      <c r="B87" s="39" t="s">
        <v>98</v>
      </c>
      <c r="C87" s="37">
        <v>4.6399999999999997</v>
      </c>
      <c r="D87" s="37">
        <v>4.6399999999999997</v>
      </c>
      <c r="E87" s="38">
        <f t="shared" si="4"/>
        <v>100</v>
      </c>
      <c r="F87" s="38">
        <f>SUM(D87-C87)</f>
        <v>0</v>
      </c>
    </row>
    <row r="88" spans="1:7" ht="15.75" hidden="1" customHeight="1">
      <c r="A88" s="35" t="s">
        <v>99</v>
      </c>
      <c r="B88" s="39" t="s">
        <v>100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7" ht="15.75" hidden="1" customHeight="1">
      <c r="A89" s="35" t="s">
        <v>101</v>
      </c>
      <c r="B89" s="39" t="s">
        <v>102</v>
      </c>
      <c r="C89" s="37"/>
      <c r="D89" s="37"/>
      <c r="E89" s="38" t="e">
        <f t="shared" si="4"/>
        <v>#DIV/0!</v>
      </c>
      <c r="F89" s="38"/>
    </row>
    <row r="90" spans="1:7" ht="15.75" hidden="1" customHeight="1">
      <c r="A90" s="35" t="s">
        <v>103</v>
      </c>
      <c r="B90" s="39" t="s">
        <v>104</v>
      </c>
      <c r="C90" s="37"/>
      <c r="D90" s="37"/>
      <c r="E90" s="38" t="e">
        <f t="shared" si="4"/>
        <v>#DIV/0!</v>
      </c>
      <c r="F90" s="38"/>
    </row>
    <row r="91" spans="1:7" ht="15.75" hidden="1" customHeight="1">
      <c r="A91" s="35" t="s">
        <v>105</v>
      </c>
      <c r="B91" s="39" t="s">
        <v>106</v>
      </c>
      <c r="C91" s="37"/>
      <c r="D91" s="37"/>
      <c r="E91" s="38" t="e">
        <f t="shared" si="4"/>
        <v>#DIV/0!</v>
      </c>
      <c r="F91" s="38"/>
    </row>
    <row r="92" spans="1:7" s="6" customFormat="1" ht="15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7" ht="15.75" hidden="1" customHeight="1">
      <c r="A93" s="53">
        <v>1401</v>
      </c>
      <c r="B93" s="54" t="s">
        <v>116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7" ht="15.75" hidden="1" customHeight="1">
      <c r="A94" s="53">
        <v>1402</v>
      </c>
      <c r="B94" s="54" t="s">
        <v>117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7" ht="15.75" hidden="1" customHeight="1">
      <c r="A95" s="53">
        <v>1403</v>
      </c>
      <c r="B95" s="54" t="s">
        <v>118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7" s="6" customFormat="1" ht="15.75" customHeight="1">
      <c r="A96" s="52"/>
      <c r="B96" s="57" t="s">
        <v>119</v>
      </c>
      <c r="C96" s="377">
        <f>C55+C63+C70+C75+C79+C81+C86+C65+C92</f>
        <v>5777.8139200000014</v>
      </c>
      <c r="D96" s="377">
        <f>D55+D63+D70+D75+D79+D81+D86+D65+D92</f>
        <v>5565.6862600000004</v>
      </c>
      <c r="E96" s="34">
        <f t="shared" si="4"/>
        <v>96.328582696896518</v>
      </c>
      <c r="F96" s="34">
        <f t="shared" si="3"/>
        <v>-212.12766000000101</v>
      </c>
      <c r="G96" s="293"/>
    </row>
    <row r="97" spans="1:5">
      <c r="C97" s="126"/>
      <c r="D97" s="101"/>
    </row>
    <row r="98" spans="1:5" s="65" customFormat="1" ht="16.5" customHeight="1">
      <c r="A98" s="63" t="s">
        <v>120</v>
      </c>
      <c r="B98" s="63"/>
      <c r="C98" s="249"/>
      <c r="D98" s="249"/>
      <c r="E98" s="64"/>
    </row>
    <row r="99" spans="1:5" s="65" customFormat="1" ht="20.25" customHeight="1">
      <c r="A99" s="66" t="s">
        <v>121</v>
      </c>
      <c r="B99" s="66"/>
      <c r="C99" s="65" t="s">
        <v>122</v>
      </c>
    </row>
    <row r="100" spans="1:5" ht="13.5" customHeight="1">
      <c r="C100" s="120"/>
    </row>
    <row r="102" spans="1:5" ht="5.25" customHeight="1"/>
  </sheetData>
  <customSheetViews>
    <customSheetView guid="{487FB2A4-0730-401E-81DB-8304F8599D85}" hiddenRows="1" topLeftCell="A25">
      <selection activeCell="D41" sqref="D41"/>
      <pageMargins left="0.7" right="0.7" top="0.75" bottom="0.75" header="0.3" footer="0.3"/>
      <pageSetup paperSize="9" scale="57" orientation="portrait" r:id="rId1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3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4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B30CE22D-C12F-4E12-8BB9-3AAE0A6991CC}" scale="70" showPageBreaks="1" printArea="1" hiddenRows="1" view="pageBreakPreview" topLeftCell="A31">
      <selection activeCell="D87" sqref="D87"/>
      <pageMargins left="0.70866141732283472" right="0.70866141732283472" top="0.74803149606299213" bottom="0.74803149606299213" header="0.31496062992125984" footer="0.31496062992125984"/>
      <pageSetup paperSize="9" scale="57" orientation="portrait" r:id="rId6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7" orientation="portrait" r:id="rId8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G102"/>
  <sheetViews>
    <sheetView topLeftCell="A32" zoomScaleNormal="100" zoomScaleSheetLayoutView="70" workbookViewId="0">
      <selection activeCell="J56" sqref="J56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6" t="s">
        <v>432</v>
      </c>
      <c r="B1" s="516"/>
      <c r="C1" s="516"/>
      <c r="D1" s="516"/>
      <c r="E1" s="516"/>
      <c r="F1" s="516"/>
    </row>
    <row r="2" spans="1:6">
      <c r="A2" s="516"/>
      <c r="B2" s="516"/>
      <c r="C2" s="516"/>
      <c r="D2" s="516"/>
      <c r="E2" s="516"/>
      <c r="F2" s="516"/>
    </row>
    <row r="3" spans="1:6" ht="63">
      <c r="A3" s="2" t="s">
        <v>1</v>
      </c>
      <c r="B3" s="2" t="s">
        <v>2</v>
      </c>
      <c r="C3" s="72" t="s">
        <v>346</v>
      </c>
      <c r="D3" s="73" t="s">
        <v>419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1363.54</v>
      </c>
      <c r="D4" s="5">
        <f>D5+D12+D14+D17+D7</f>
        <v>1296.60196</v>
      </c>
      <c r="E4" s="5">
        <f>SUM(D4/C4*100)</f>
        <v>95.090863487686462</v>
      </c>
      <c r="F4" s="5">
        <f>SUM(D4-C4)</f>
        <v>-66.938040000000001</v>
      </c>
    </row>
    <row r="5" spans="1:6" s="6" customFormat="1">
      <c r="A5" s="68">
        <v>1010000000</v>
      </c>
      <c r="B5" s="67" t="s">
        <v>6</v>
      </c>
      <c r="C5" s="5">
        <f>C6</f>
        <v>130.19999999999999</v>
      </c>
      <c r="D5" s="5">
        <f>D6</f>
        <v>132.00704999999999</v>
      </c>
      <c r="E5" s="5">
        <f t="shared" ref="E5:E52" si="0">SUM(D5/C5*100)</f>
        <v>101.38790322580647</v>
      </c>
      <c r="F5" s="5">
        <f t="shared" ref="F5:F52" si="1">SUM(D5-C5)</f>
        <v>1.8070500000000038</v>
      </c>
    </row>
    <row r="6" spans="1:6">
      <c r="A6" s="7">
        <v>1010200001</v>
      </c>
      <c r="B6" s="8" t="s">
        <v>229</v>
      </c>
      <c r="C6" s="9">
        <v>130.19999999999999</v>
      </c>
      <c r="D6" s="10">
        <v>132.00704999999999</v>
      </c>
      <c r="E6" s="9">
        <f t="shared" ref="E6:E11" si="2">SUM(D6/C6*100)</f>
        <v>101.38790322580647</v>
      </c>
      <c r="F6" s="9">
        <f t="shared" si="1"/>
        <v>1.8070500000000038</v>
      </c>
    </row>
    <row r="7" spans="1:6" ht="31.5">
      <c r="A7" s="3">
        <v>1030000000</v>
      </c>
      <c r="B7" s="13" t="s">
        <v>281</v>
      </c>
      <c r="C7" s="5">
        <f>C8+C10+C9</f>
        <v>670.33999999999992</v>
      </c>
      <c r="D7" s="5">
        <f>D8+D10+D9+D11</f>
        <v>713.37272000000007</v>
      </c>
      <c r="E7" s="5">
        <f t="shared" si="2"/>
        <v>106.4195363546857</v>
      </c>
      <c r="F7" s="5">
        <f t="shared" si="1"/>
        <v>43.032720000000154</v>
      </c>
    </row>
    <row r="8" spans="1:6">
      <c r="A8" s="7">
        <v>1030223001</v>
      </c>
      <c r="B8" s="8" t="s">
        <v>283</v>
      </c>
      <c r="C8" s="9">
        <v>250.04</v>
      </c>
      <c r="D8" s="10">
        <v>317.85415</v>
      </c>
      <c r="E8" s="9">
        <f t="shared" si="2"/>
        <v>127.12132058870583</v>
      </c>
      <c r="F8" s="9">
        <f t="shared" si="1"/>
        <v>67.814150000000012</v>
      </c>
    </row>
    <row r="9" spans="1:6">
      <c r="A9" s="7">
        <v>1030224001</v>
      </c>
      <c r="B9" s="8" t="s">
        <v>289</v>
      </c>
      <c r="C9" s="9">
        <v>2.68</v>
      </c>
      <c r="D9" s="10">
        <v>3.0611299999999999</v>
      </c>
      <c r="E9" s="9">
        <f t="shared" si="2"/>
        <v>114.2212686567164</v>
      </c>
      <c r="F9" s="9">
        <f t="shared" si="1"/>
        <v>0.38112999999999975</v>
      </c>
    </row>
    <row r="10" spans="1:6">
      <c r="A10" s="7">
        <v>1030225001</v>
      </c>
      <c r="B10" s="8" t="s">
        <v>282</v>
      </c>
      <c r="C10" s="9">
        <v>417.62</v>
      </c>
      <c r="D10" s="10">
        <v>463.6748</v>
      </c>
      <c r="E10" s="9">
        <f t="shared" si="2"/>
        <v>111.02792011876825</v>
      </c>
      <c r="F10" s="9">
        <f t="shared" si="1"/>
        <v>46.0548</v>
      </c>
    </row>
    <row r="11" spans="1:6">
      <c r="A11" s="7">
        <v>1030226001</v>
      </c>
      <c r="B11" s="8" t="s">
        <v>291</v>
      </c>
      <c r="C11" s="9">
        <v>0</v>
      </c>
      <c r="D11" s="10">
        <v>-71.217359999999999</v>
      </c>
      <c r="E11" s="9" t="e">
        <f t="shared" si="2"/>
        <v>#DIV/0!</v>
      </c>
      <c r="F11" s="9">
        <f t="shared" si="1"/>
        <v>-71.217359999999999</v>
      </c>
    </row>
    <row r="12" spans="1:6" s="6" customFormat="1">
      <c r="A12" s="68">
        <v>1050000000</v>
      </c>
      <c r="B12" s="67" t="s">
        <v>7</v>
      </c>
      <c r="C12" s="5">
        <f>SUM(C13:C13)</f>
        <v>30</v>
      </c>
      <c r="D12" s="5">
        <f>SUM(D13:D13)</f>
        <v>1.6573199999999999</v>
      </c>
      <c r="E12" s="5">
        <f t="shared" si="0"/>
        <v>5.5243999999999991</v>
      </c>
      <c r="F12" s="5">
        <f t="shared" si="1"/>
        <v>-28.342680000000001</v>
      </c>
    </row>
    <row r="13" spans="1:6" ht="15.75" customHeight="1">
      <c r="A13" s="7">
        <v>1050300000</v>
      </c>
      <c r="B13" s="11" t="s">
        <v>230</v>
      </c>
      <c r="C13" s="12">
        <v>30</v>
      </c>
      <c r="D13" s="10">
        <v>1.6573199999999999</v>
      </c>
      <c r="E13" s="9">
        <f t="shared" si="0"/>
        <v>5.5243999999999991</v>
      </c>
      <c r="F13" s="9">
        <f t="shared" si="1"/>
        <v>-28.342680000000001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525</v>
      </c>
      <c r="D14" s="5">
        <f>D15+D16</f>
        <v>442.81487000000004</v>
      </c>
      <c r="E14" s="5">
        <f t="shared" si="0"/>
        <v>84.345689523809526</v>
      </c>
      <c r="F14" s="5">
        <f t="shared" si="1"/>
        <v>-82.185129999999958</v>
      </c>
    </row>
    <row r="15" spans="1:6" s="6" customFormat="1" ht="15.75" customHeight="1">
      <c r="A15" s="7">
        <v>1060100000</v>
      </c>
      <c r="B15" s="11" t="s">
        <v>9</v>
      </c>
      <c r="C15" s="9">
        <v>105</v>
      </c>
      <c r="D15" s="10">
        <v>132.85103000000001</v>
      </c>
      <c r="E15" s="9">
        <f t="shared" si="0"/>
        <v>126.52479047619047</v>
      </c>
      <c r="F15" s="9">
        <f>SUM(D15-C15)</f>
        <v>27.851030000000009</v>
      </c>
    </row>
    <row r="16" spans="1:6" ht="15.75" customHeight="1">
      <c r="A16" s="7">
        <v>1060600000</v>
      </c>
      <c r="B16" s="11" t="s">
        <v>8</v>
      </c>
      <c r="C16" s="9">
        <v>420</v>
      </c>
      <c r="D16" s="10">
        <v>309.96384</v>
      </c>
      <c r="E16" s="9">
        <f t="shared" si="0"/>
        <v>73.800914285714299</v>
      </c>
      <c r="F16" s="9">
        <f t="shared" si="1"/>
        <v>-110.03616</v>
      </c>
    </row>
    <row r="17" spans="1:6" s="6" customFormat="1">
      <c r="A17" s="3">
        <v>1080000000</v>
      </c>
      <c r="B17" s="4" t="s">
        <v>11</v>
      </c>
      <c r="C17" s="5">
        <f>C18</f>
        <v>8</v>
      </c>
      <c r="D17" s="5">
        <f>D18</f>
        <v>6.75</v>
      </c>
      <c r="E17" s="5">
        <f t="shared" si="0"/>
        <v>84.375</v>
      </c>
      <c r="F17" s="5">
        <f t="shared" si="1"/>
        <v>-1.25</v>
      </c>
    </row>
    <row r="18" spans="1:6" ht="17.25" customHeight="1">
      <c r="A18" s="7">
        <v>1080400001</v>
      </c>
      <c r="B18" s="8" t="s">
        <v>272</v>
      </c>
      <c r="C18" s="9">
        <v>8</v>
      </c>
      <c r="D18" s="10">
        <v>6.75</v>
      </c>
      <c r="E18" s="9">
        <f t="shared" si="0"/>
        <v>84.375</v>
      </c>
      <c r="F18" s="9">
        <f t="shared" si="1"/>
        <v>-1.25</v>
      </c>
    </row>
    <row r="19" spans="1:6" ht="49.5" customHeight="1">
      <c r="A19" s="7">
        <v>1080714001</v>
      </c>
      <c r="B19" s="8" t="s">
        <v>227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360</v>
      </c>
      <c r="D25" s="5">
        <f>D26+D29+D31+D34</f>
        <v>584.64693</v>
      </c>
      <c r="E25" s="5">
        <f t="shared" si="0"/>
        <v>162.40192500000001</v>
      </c>
      <c r="F25" s="5">
        <f t="shared" si="1"/>
        <v>224.64693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60</v>
      </c>
      <c r="D26" s="5">
        <f>D27+D28</f>
        <v>66</v>
      </c>
      <c r="E26" s="5">
        <f t="shared" si="0"/>
        <v>110.00000000000001</v>
      </c>
      <c r="F26" s="5">
        <f t="shared" si="1"/>
        <v>6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60</v>
      </c>
      <c r="D28" s="10">
        <v>66</v>
      </c>
      <c r="E28" s="9">
        <f t="shared" si="0"/>
        <v>110.00000000000001</v>
      </c>
      <c r="F28" s="9">
        <f t="shared" si="1"/>
        <v>6</v>
      </c>
    </row>
    <row r="29" spans="1:6" s="15" customFormat="1" ht="27.75" customHeight="1">
      <c r="A29" s="68">
        <v>1130000000</v>
      </c>
      <c r="B29" s="69" t="s">
        <v>131</v>
      </c>
      <c r="C29" s="5">
        <f>C30</f>
        <v>300</v>
      </c>
      <c r="D29" s="5">
        <f>D30</f>
        <v>518.88702999999998</v>
      </c>
      <c r="E29" s="5">
        <f t="shared" si="0"/>
        <v>172.96234333333334</v>
      </c>
      <c r="F29" s="5">
        <f t="shared" si="1"/>
        <v>218.88702999999998</v>
      </c>
    </row>
    <row r="30" spans="1:6" ht="15.75" customHeight="1">
      <c r="A30" s="7">
        <v>1130206005</v>
      </c>
      <c r="B30" s="8" t="s">
        <v>15</v>
      </c>
      <c r="C30" s="9">
        <v>300</v>
      </c>
      <c r="D30" s="10">
        <v>518.88702999999998</v>
      </c>
      <c r="E30" s="9">
        <f t="shared" si="0"/>
        <v>172.96234333333334</v>
      </c>
      <c r="F30" s="9">
        <f t="shared" si="1"/>
        <v>218.88702999999998</v>
      </c>
    </row>
    <row r="31" spans="1:6" ht="20.2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135</v>
      </c>
      <c r="C34" s="5">
        <f>C35+C36</f>
        <v>0</v>
      </c>
      <c r="D34" s="5">
        <f>D35+D36</f>
        <v>-0.24010000000000001</v>
      </c>
      <c r="E34" s="5" t="e">
        <f t="shared" si="0"/>
        <v>#DIV/0!</v>
      </c>
      <c r="F34" s="5">
        <f t="shared" si="1"/>
        <v>-0.24010000000000001</v>
      </c>
    </row>
    <row r="35" spans="1:7" ht="19.5" customHeight="1">
      <c r="A35" s="7">
        <v>1170105010</v>
      </c>
      <c r="B35" s="8" t="s">
        <v>18</v>
      </c>
      <c r="C35" s="9">
        <v>0</v>
      </c>
      <c r="D35" s="9">
        <v>-0.24010000000000001</v>
      </c>
      <c r="E35" s="9" t="e">
        <f t="shared" si="0"/>
        <v>#DIV/0!</v>
      </c>
      <c r="F35" s="9">
        <f t="shared" si="1"/>
        <v>-0.24010000000000001</v>
      </c>
    </row>
    <row r="36" spans="1:7" ht="0.7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19</v>
      </c>
      <c r="C37" s="127">
        <f>SUM(C4,C25)</f>
        <v>1723.54</v>
      </c>
      <c r="D37" s="127">
        <f>D4+D25</f>
        <v>1881.2488899999998</v>
      </c>
      <c r="E37" s="5">
        <f t="shared" si="0"/>
        <v>109.15028894020446</v>
      </c>
      <c r="F37" s="5">
        <f t="shared" si="1"/>
        <v>157.70888999999988</v>
      </c>
    </row>
    <row r="38" spans="1:7" s="6" customFormat="1">
      <c r="A38" s="3">
        <v>2000000000</v>
      </c>
      <c r="B38" s="4" t="s">
        <v>20</v>
      </c>
      <c r="C38" s="409">
        <f>C39+C41+C42+C43+C50+C51</f>
        <v>5597.2921000000006</v>
      </c>
      <c r="D38" s="409">
        <f>D39+D41+D42+D43+D50+D51</f>
        <v>5597.2921000000006</v>
      </c>
      <c r="E38" s="5">
        <f t="shared" si="0"/>
        <v>100</v>
      </c>
      <c r="F38" s="5">
        <f t="shared" si="1"/>
        <v>0</v>
      </c>
      <c r="G38" s="19"/>
    </row>
    <row r="39" spans="1:7" ht="16.5" customHeight="1">
      <c r="A39" s="16">
        <v>2021000000</v>
      </c>
      <c r="B39" s="17" t="s">
        <v>21</v>
      </c>
      <c r="C39" s="12">
        <v>2768.5630000000001</v>
      </c>
      <c r="D39" s="20">
        <v>2768.5630000000001</v>
      </c>
      <c r="E39" s="9">
        <v>0</v>
      </c>
      <c r="F39" s="9">
        <f t="shared" si="1"/>
        <v>0</v>
      </c>
    </row>
    <row r="40" spans="1:7" ht="14.25" hidden="1" customHeight="1">
      <c r="A40" s="16">
        <v>2020100310</v>
      </c>
      <c r="B40" s="17" t="s">
        <v>232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232</v>
      </c>
      <c r="C41" s="12">
        <v>1046.8801000000001</v>
      </c>
      <c r="D41" s="20">
        <v>1046.8801000000001</v>
      </c>
      <c r="E41" s="9">
        <f t="shared" si="0"/>
        <v>100</v>
      </c>
      <c r="F41" s="9">
        <f t="shared" si="1"/>
        <v>0</v>
      </c>
    </row>
    <row r="42" spans="1:7">
      <c r="A42" s="16">
        <v>2022000000</v>
      </c>
      <c r="B42" s="17" t="s">
        <v>22</v>
      </c>
      <c r="C42" s="12">
        <v>1526.2819999999999</v>
      </c>
      <c r="D42" s="10">
        <v>1526.2819999999999</v>
      </c>
      <c r="E42" s="9">
        <f t="shared" si="0"/>
        <v>100</v>
      </c>
      <c r="F42" s="9">
        <f t="shared" si="1"/>
        <v>0</v>
      </c>
    </row>
    <row r="43" spans="1:7" ht="17.25" customHeight="1">
      <c r="A43" s="16">
        <v>2023000000</v>
      </c>
      <c r="B43" s="17" t="s">
        <v>23</v>
      </c>
      <c r="C43" s="12">
        <v>177.46700000000001</v>
      </c>
      <c r="D43" s="251">
        <v>177.46700000000001</v>
      </c>
      <c r="E43" s="9">
        <f t="shared" si="0"/>
        <v>100</v>
      </c>
      <c r="F43" s="9">
        <f t="shared" si="1"/>
        <v>0</v>
      </c>
    </row>
    <row r="44" spans="1:7" ht="18" hidden="1" customHeight="1">
      <c r="A44" s="16">
        <v>2020400000</v>
      </c>
      <c r="B44" s="17" t="s">
        <v>24</v>
      </c>
      <c r="C44" s="12"/>
      <c r="D44" s="252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25</v>
      </c>
      <c r="C45" s="12"/>
      <c r="D45" s="252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302</v>
      </c>
      <c r="C46" s="277">
        <f>C47</f>
        <v>0</v>
      </c>
      <c r="D46" s="352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301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7.25" hidden="1" customHeight="1">
      <c r="A48" s="7">
        <v>2190500005</v>
      </c>
      <c r="B48" s="11" t="s">
        <v>26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7" s="6" customFormat="1" ht="15.75" hidden="1" customHeight="1">
      <c r="A49" s="3">
        <v>3000000000</v>
      </c>
      <c r="B49" s="13" t="s">
        <v>27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7" s="6" customFormat="1" ht="15" customHeight="1">
      <c r="A50" s="7">
        <v>2020400000</v>
      </c>
      <c r="B50" s="8" t="s">
        <v>24</v>
      </c>
      <c r="C50" s="12">
        <v>0</v>
      </c>
      <c r="D50" s="10">
        <v>0</v>
      </c>
      <c r="E50" s="9" t="e">
        <f t="shared" si="0"/>
        <v>#DIV/0!</v>
      </c>
      <c r="F50" s="9">
        <f t="shared" si="1"/>
        <v>0</v>
      </c>
    </row>
    <row r="51" spans="1:7" s="6" customFormat="1" ht="15" customHeight="1">
      <c r="A51" s="7">
        <v>2070500010</v>
      </c>
      <c r="B51" s="11" t="s">
        <v>303</v>
      </c>
      <c r="C51" s="12">
        <v>78.099999999999994</v>
      </c>
      <c r="D51" s="10">
        <v>78.099999999999994</v>
      </c>
      <c r="E51" s="9">
        <f>SUM(D51/C51*100)</f>
        <v>100</v>
      </c>
      <c r="F51" s="9">
        <f>SUM(D51-C51)</f>
        <v>0</v>
      </c>
    </row>
    <row r="52" spans="1:7" s="6" customFormat="1" ht="18" customHeight="1">
      <c r="A52" s="3"/>
      <c r="B52" s="4" t="s">
        <v>28</v>
      </c>
      <c r="C52" s="373">
        <f>C37+C38</f>
        <v>7320.8321000000005</v>
      </c>
      <c r="D52" s="373">
        <f>D37+D38</f>
        <v>7478.5409900000004</v>
      </c>
      <c r="E52" s="5">
        <f t="shared" si="0"/>
        <v>102.15424814892285</v>
      </c>
      <c r="F52" s="5">
        <f t="shared" si="1"/>
        <v>157.70888999999988</v>
      </c>
      <c r="G52" s="94"/>
    </row>
    <row r="53" spans="1:7" s="6" customFormat="1">
      <c r="A53" s="3"/>
      <c r="B53" s="21" t="s">
        <v>321</v>
      </c>
      <c r="C53" s="373">
        <f>C52-C98</f>
        <v>-199.8163799999993</v>
      </c>
      <c r="D53" s="373">
        <f>D52-D98</f>
        <v>50.884320000001026</v>
      </c>
      <c r="E53" s="22"/>
      <c r="F53" s="22"/>
    </row>
    <row r="54" spans="1:7">
      <c r="A54" s="23"/>
      <c r="B54" s="24"/>
      <c r="C54" s="115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436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5" customHeight="1">
      <c r="A57" s="30" t="s">
        <v>30</v>
      </c>
      <c r="B57" s="31" t="s">
        <v>31</v>
      </c>
      <c r="C57" s="32">
        <f>C58+C59+C60+C61+C62+C64+C63</f>
        <v>1339.6554999999998</v>
      </c>
      <c r="D57" s="33">
        <f>D58+D59+D60+D61+D62+D64+D63</f>
        <v>1300.3619899999999</v>
      </c>
      <c r="E57" s="34">
        <f>SUM(D57/C57*100)</f>
        <v>97.066894436666743</v>
      </c>
      <c r="F57" s="34">
        <f>SUM(D57-C57)</f>
        <v>-39.293509999999969</v>
      </c>
    </row>
    <row r="58" spans="1:7" s="6" customFormat="1" ht="15" hidden="1" customHeight="1">
      <c r="A58" s="35" t="s">
        <v>32</v>
      </c>
      <c r="B58" s="36" t="s">
        <v>33</v>
      </c>
      <c r="C58" s="37"/>
      <c r="D58" s="37"/>
      <c r="E58" s="38"/>
      <c r="F58" s="38"/>
    </row>
    <row r="59" spans="1:7" ht="15" customHeight="1">
      <c r="A59" s="35" t="s">
        <v>34</v>
      </c>
      <c r="B59" s="39" t="s">
        <v>35</v>
      </c>
      <c r="C59" s="37">
        <v>1314.6849999999999</v>
      </c>
      <c r="D59" s="37">
        <v>1280.39149</v>
      </c>
      <c r="E59" s="38">
        <f t="shared" ref="E59:E98" si="3">SUM(D59/C59*100)</f>
        <v>97.39150366817907</v>
      </c>
      <c r="F59" s="38">
        <f t="shared" ref="F59:F98" si="4">SUM(D59-C59)</f>
        <v>-34.293509999999969</v>
      </c>
    </row>
    <row r="60" spans="1:7" ht="1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1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7.25" customHeight="1">
      <c r="A62" s="35" t="s">
        <v>40</v>
      </c>
      <c r="B62" s="39" t="s">
        <v>41</v>
      </c>
      <c r="C62" s="37">
        <v>15.714</v>
      </c>
      <c r="D62" s="37">
        <v>15.714</v>
      </c>
      <c r="E62" s="38">
        <f t="shared" si="3"/>
        <v>100</v>
      </c>
      <c r="F62" s="38">
        <f t="shared" si="4"/>
        <v>0</v>
      </c>
    </row>
    <row r="63" spans="1:7" ht="16.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8" customHeight="1">
      <c r="A64" s="35" t="s">
        <v>44</v>
      </c>
      <c r="B64" s="39" t="s">
        <v>45</v>
      </c>
      <c r="C64" s="37">
        <v>4.2565</v>
      </c>
      <c r="D64" s="37">
        <v>4.2565</v>
      </c>
      <c r="E64" s="38">
        <f t="shared" si="3"/>
        <v>100</v>
      </c>
      <c r="F64" s="38">
        <f t="shared" si="4"/>
        <v>0</v>
      </c>
    </row>
    <row r="65" spans="1:7" s="6" customFormat="1" ht="15" customHeight="1">
      <c r="A65" s="41" t="s">
        <v>46</v>
      </c>
      <c r="B65" s="42" t="s">
        <v>47</v>
      </c>
      <c r="C65" s="32">
        <f>C66</f>
        <v>170.749</v>
      </c>
      <c r="D65" s="32">
        <f>D66</f>
        <v>170.749</v>
      </c>
      <c r="E65" s="34">
        <f t="shared" si="3"/>
        <v>100</v>
      </c>
      <c r="F65" s="34">
        <f t="shared" si="4"/>
        <v>0</v>
      </c>
    </row>
    <row r="66" spans="1:7">
      <c r="A66" s="43" t="s">
        <v>48</v>
      </c>
      <c r="B66" s="44" t="s">
        <v>49</v>
      </c>
      <c r="C66" s="37">
        <v>170.749</v>
      </c>
      <c r="D66" s="37">
        <v>170.749</v>
      </c>
      <c r="E66" s="38">
        <f t="shared" si="3"/>
        <v>100</v>
      </c>
      <c r="F66" s="38">
        <f t="shared" si="4"/>
        <v>0</v>
      </c>
    </row>
    <row r="67" spans="1:7" s="6" customFormat="1" ht="16.5" customHeight="1">
      <c r="A67" s="30" t="s">
        <v>50</v>
      </c>
      <c r="B67" s="31" t="s">
        <v>51</v>
      </c>
      <c r="C67" s="32">
        <f>C70+C71</f>
        <v>3</v>
      </c>
      <c r="D67" s="32">
        <f>SUM(D68:D71)</f>
        <v>0</v>
      </c>
      <c r="E67" s="34">
        <f t="shared" si="3"/>
        <v>0</v>
      </c>
      <c r="F67" s="34">
        <f t="shared" si="4"/>
        <v>-3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1</v>
      </c>
      <c r="D71" s="37">
        <v>0</v>
      </c>
      <c r="E71" s="34">
        <f t="shared" si="3"/>
        <v>0</v>
      </c>
      <c r="F71" s="34">
        <f t="shared" si="4"/>
        <v>-1</v>
      </c>
    </row>
    <row r="72" spans="1:7" s="6" customFormat="1" ht="15" customHeight="1">
      <c r="A72" s="30" t="s">
        <v>58</v>
      </c>
      <c r="B72" s="31" t="s">
        <v>59</v>
      </c>
      <c r="C72" s="48">
        <f>SUM(C73:C76)</f>
        <v>1558.51638</v>
      </c>
      <c r="D72" s="48">
        <f>SUM(D73:D76)</f>
        <v>1527.1272299999998</v>
      </c>
      <c r="E72" s="34">
        <f t="shared" si="3"/>
        <v>97.985959570088042</v>
      </c>
      <c r="F72" s="34">
        <f t="shared" si="4"/>
        <v>-31.3891500000002</v>
      </c>
    </row>
    <row r="73" spans="1:7" ht="17.25" customHeight="1">
      <c r="A73" s="35" t="s">
        <v>60</v>
      </c>
      <c r="B73" s="39" t="s">
        <v>61</v>
      </c>
      <c r="C73" s="49">
        <v>17.5</v>
      </c>
      <c r="D73" s="37">
        <v>17.5</v>
      </c>
      <c r="E73" s="38">
        <f t="shared" si="3"/>
        <v>100</v>
      </c>
      <c r="F73" s="38">
        <f t="shared" si="4"/>
        <v>0</v>
      </c>
    </row>
    <row r="74" spans="1:7" s="6" customFormat="1" ht="19.5" customHeight="1">
      <c r="A74" s="35" t="s">
        <v>62</v>
      </c>
      <c r="B74" s="39" t="s">
        <v>63</v>
      </c>
      <c r="C74" s="49">
        <v>332.73500000000001</v>
      </c>
      <c r="D74" s="37">
        <v>301.34584999999998</v>
      </c>
      <c r="E74" s="38">
        <f t="shared" si="3"/>
        <v>90.566321547177182</v>
      </c>
      <c r="F74" s="38">
        <f t="shared" si="4"/>
        <v>-31.389150000000029</v>
      </c>
      <c r="G74" s="50"/>
    </row>
    <row r="75" spans="1:7">
      <c r="A75" s="35" t="s">
        <v>64</v>
      </c>
      <c r="B75" s="39" t="s">
        <v>65</v>
      </c>
      <c r="C75" s="49">
        <f>1208.28138</f>
        <v>1208.2813799999999</v>
      </c>
      <c r="D75" s="37">
        <v>1208.2813799999999</v>
      </c>
      <c r="E75" s="38">
        <f t="shared" si="3"/>
        <v>100</v>
      </c>
      <c r="F75" s="38">
        <f t="shared" si="4"/>
        <v>0</v>
      </c>
    </row>
    <row r="76" spans="1:7">
      <c r="A76" s="35" t="s">
        <v>66</v>
      </c>
      <c r="B76" s="39" t="s">
        <v>67</v>
      </c>
      <c r="C76" s="49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 s="6" customFormat="1" ht="14.25" customHeight="1">
      <c r="A77" s="30" t="s">
        <v>68</v>
      </c>
      <c r="B77" s="31" t="s">
        <v>69</v>
      </c>
      <c r="C77" s="32">
        <f>SUM(C78:C80)</f>
        <v>704.24</v>
      </c>
      <c r="D77" s="32">
        <f>SUM(D78:D80)</f>
        <v>684.94888000000003</v>
      </c>
      <c r="E77" s="34">
        <f t="shared" si="3"/>
        <v>97.260717937066914</v>
      </c>
      <c r="F77" s="34">
        <f t="shared" si="4"/>
        <v>-19.291119999999978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704.24</v>
      </c>
      <c r="D80" s="37">
        <v>684.94888000000003</v>
      </c>
      <c r="E80" s="38">
        <f t="shared" si="3"/>
        <v>97.260717937066914</v>
      </c>
      <c r="F80" s="38">
        <f t="shared" si="4"/>
        <v>-19.291119999999978</v>
      </c>
    </row>
    <row r="81" spans="1:6" s="6" customFormat="1">
      <c r="A81" s="30" t="s">
        <v>86</v>
      </c>
      <c r="B81" s="31" t="s">
        <v>87</v>
      </c>
      <c r="C81" s="32">
        <f>C82</f>
        <v>3740.4875999999999</v>
      </c>
      <c r="D81" s="32">
        <f>SUM(D82)</f>
        <v>3740.4755700000001</v>
      </c>
      <c r="E81" s="34">
        <f t="shared" si="3"/>
        <v>99.999678384176434</v>
      </c>
      <c r="F81" s="34">
        <f t="shared" si="4"/>
        <v>-1.2029999999867869E-2</v>
      </c>
    </row>
    <row r="82" spans="1:6" ht="15" hidden="1" customHeight="1">
      <c r="A82" s="35" t="s">
        <v>88</v>
      </c>
      <c r="B82" s="39" t="s">
        <v>234</v>
      </c>
      <c r="C82" s="37">
        <v>3740.4875999999999</v>
      </c>
      <c r="D82" s="37">
        <v>3740.4755700000001</v>
      </c>
      <c r="E82" s="38">
        <f t="shared" si="3"/>
        <v>99.999678384176434</v>
      </c>
      <c r="F82" s="38">
        <f t="shared" si="4"/>
        <v>-1.2029999999867869E-2</v>
      </c>
    </row>
    <row r="83" spans="1:6" s="6" customFormat="1" ht="15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96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</f>
        <v>4</v>
      </c>
      <c r="D88" s="32">
        <f>D89+D90+D91+D92+D93</f>
        <v>3.9940000000000002</v>
      </c>
      <c r="E88" s="38"/>
      <c r="F88" s="22">
        <f>F89+F90+F91+F92+F93</f>
        <v>-5.9999999999997833E-3</v>
      </c>
    </row>
    <row r="89" spans="1:6" ht="16.5" customHeight="1">
      <c r="A89" s="35" t="s">
        <v>97</v>
      </c>
      <c r="B89" s="39" t="s">
        <v>98</v>
      </c>
      <c r="C89" s="37">
        <v>4</v>
      </c>
      <c r="D89" s="37">
        <v>3.9940000000000002</v>
      </c>
      <c r="E89" s="38"/>
      <c r="F89" s="38">
        <f>SUM(D89-C89)</f>
        <v>-5.9999999999997833E-3</v>
      </c>
    </row>
    <row r="90" spans="1:6" ht="1.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9.5" hidden="1" customHeight="1">
      <c r="A94" s="52">
        <v>1400</v>
      </c>
      <c r="B94" s="56" t="s">
        <v>115</v>
      </c>
      <c r="C94" s="48">
        <f>C95+C96+C97</f>
        <v>0</v>
      </c>
      <c r="D94" s="241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119</v>
      </c>
      <c r="C98" s="377">
        <f>C57+C65+C67+C72+C77+C81+C88+C83</f>
        <v>7520.6484799999998</v>
      </c>
      <c r="D98" s="377">
        <f>D57+D65+D67+D72+D77+D81+D88+D83</f>
        <v>7427.6566699999994</v>
      </c>
      <c r="E98" s="34">
        <f t="shared" si="3"/>
        <v>98.763513409152182</v>
      </c>
      <c r="F98" s="34">
        <f t="shared" si="4"/>
        <v>-92.991810000000442</v>
      </c>
    </row>
    <row r="99" spans="1:6">
      <c r="D99" s="245"/>
    </row>
    <row r="100" spans="1:6" s="65" customFormat="1" ht="18" customHeight="1">
      <c r="A100" s="63" t="s">
        <v>120</v>
      </c>
      <c r="B100" s="63"/>
      <c r="C100" s="131"/>
      <c r="D100" s="64"/>
      <c r="E100" s="64"/>
    </row>
    <row r="101" spans="1:6" s="65" customFormat="1" ht="12.75">
      <c r="A101" s="66" t="s">
        <v>121</v>
      </c>
      <c r="B101" s="66"/>
      <c r="C101" s="65" t="s">
        <v>122</v>
      </c>
    </row>
    <row r="102" spans="1:6">
      <c r="C102" s="120"/>
    </row>
  </sheetData>
  <customSheetViews>
    <customSheetView guid="{487FB2A4-0730-401E-81DB-8304F8599D85}" hiddenRows="1" topLeftCell="A32">
      <selection activeCell="J56" sqref="J56"/>
      <pageMargins left="0.7" right="0.7" top="0.75" bottom="0.75" header="0.3" footer="0.3"/>
      <pageSetup paperSize="9" scale="52" orientation="portrait" r:id="rId1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3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4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B30CE22D-C12F-4E12-8BB9-3AAE0A6991CC}" scale="70" showPageBreaks="1" hiddenRows="1" view="pageBreakPreview" topLeftCell="A25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hiddenRows="1" topLeftCell="A32">
      <selection activeCell="J56" sqref="J56"/>
      <pageMargins left="0.7" right="0.7" top="0.75" bottom="0.75" header="0.3" footer="0.3"/>
      <pageSetup paperSize="9" scale="52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2" orientation="portrait" r:id="rId8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04"/>
  <sheetViews>
    <sheetView topLeftCell="A36" zoomScaleNormal="100" zoomScaleSheetLayoutView="70" workbookViewId="0">
      <selection activeCell="D51" sqref="D51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" style="62" customWidth="1"/>
    <col min="5" max="5" width="10.85546875" style="62" customWidth="1"/>
    <col min="6" max="6" width="9.28515625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16" t="s">
        <v>433</v>
      </c>
      <c r="B1" s="516"/>
      <c r="C1" s="516"/>
      <c r="D1" s="516"/>
      <c r="E1" s="516"/>
      <c r="F1" s="516"/>
    </row>
    <row r="2" spans="1:6">
      <c r="A2" s="516"/>
      <c r="B2" s="516"/>
      <c r="C2" s="516"/>
      <c r="D2" s="516"/>
      <c r="E2" s="516"/>
      <c r="F2" s="516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419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2545.75</v>
      </c>
      <c r="D4" s="5">
        <f>D5+D12+D14+D17+D7</f>
        <v>2407.8265900000001</v>
      </c>
      <c r="E4" s="5">
        <f>SUM(D4/C4*100)</f>
        <v>94.582209172149661</v>
      </c>
      <c r="F4" s="5">
        <f>SUM(D4-C4)</f>
        <v>-137.92340999999988</v>
      </c>
    </row>
    <row r="5" spans="1:6" s="6" customFormat="1">
      <c r="A5" s="68">
        <v>1010000000</v>
      </c>
      <c r="B5" s="67" t="s">
        <v>6</v>
      </c>
      <c r="C5" s="5">
        <f>C6</f>
        <v>121.5</v>
      </c>
      <c r="D5" s="5">
        <f>D6</f>
        <v>146.9922</v>
      </c>
      <c r="E5" s="5">
        <f t="shared" ref="E5:E52" si="0">SUM(D5/C5*100)</f>
        <v>120.98123456790124</v>
      </c>
      <c r="F5" s="5">
        <f t="shared" ref="F5:F52" si="1">SUM(D5-C5)</f>
        <v>25.492199999999997</v>
      </c>
    </row>
    <row r="6" spans="1:6">
      <c r="A6" s="7">
        <v>1010200001</v>
      </c>
      <c r="B6" s="8" t="s">
        <v>229</v>
      </c>
      <c r="C6" s="9">
        <v>121.5</v>
      </c>
      <c r="D6" s="10">
        <v>146.9922</v>
      </c>
      <c r="E6" s="9">
        <f t="shared" ref="E6:E11" si="2">SUM(D6/C6*100)</f>
        <v>120.98123456790124</v>
      </c>
      <c r="F6" s="9">
        <f t="shared" si="1"/>
        <v>25.492199999999997</v>
      </c>
    </row>
    <row r="7" spans="1:6" ht="31.5">
      <c r="A7" s="3">
        <v>1030000000</v>
      </c>
      <c r="B7" s="13" t="s">
        <v>281</v>
      </c>
      <c r="C7" s="5">
        <f>C8+C10+C9</f>
        <v>732.24999999999989</v>
      </c>
      <c r="D7" s="5">
        <f>D8+D10+D9+D11</f>
        <v>779.25750000000005</v>
      </c>
      <c r="E7" s="5">
        <f t="shared" si="2"/>
        <v>106.41959713212702</v>
      </c>
      <c r="F7" s="5">
        <f t="shared" si="1"/>
        <v>47.007500000000164</v>
      </c>
    </row>
    <row r="8" spans="1:6">
      <c r="A8" s="7">
        <v>1030223001</v>
      </c>
      <c r="B8" s="8" t="s">
        <v>283</v>
      </c>
      <c r="C8" s="9">
        <v>273.13</v>
      </c>
      <c r="D8" s="10">
        <v>347.21010999999999</v>
      </c>
      <c r="E8" s="9">
        <f t="shared" si="2"/>
        <v>127.12265587815325</v>
      </c>
      <c r="F8" s="9">
        <f t="shared" si="1"/>
        <v>74.080109999999991</v>
      </c>
    </row>
    <row r="9" spans="1:6">
      <c r="A9" s="7">
        <v>1030224001</v>
      </c>
      <c r="B9" s="8" t="s">
        <v>289</v>
      </c>
      <c r="C9" s="9">
        <v>2.93</v>
      </c>
      <c r="D9" s="10">
        <v>3.3438500000000002</v>
      </c>
      <c r="E9" s="9">
        <f t="shared" si="2"/>
        <v>114.12457337883959</v>
      </c>
      <c r="F9" s="9">
        <f t="shared" si="1"/>
        <v>0.41385000000000005</v>
      </c>
    </row>
    <row r="10" spans="1:6">
      <c r="A10" s="7">
        <v>1030225001</v>
      </c>
      <c r="B10" s="8" t="s">
        <v>282</v>
      </c>
      <c r="C10" s="9">
        <v>456.19</v>
      </c>
      <c r="D10" s="10">
        <v>506.49826000000002</v>
      </c>
      <c r="E10" s="9">
        <f t="shared" si="2"/>
        <v>111.02791819198141</v>
      </c>
      <c r="F10" s="9">
        <f>SUM(D10-C10)</f>
        <v>50.308260000000018</v>
      </c>
    </row>
    <row r="11" spans="1:6">
      <c r="A11" s="7">
        <v>1030226001</v>
      </c>
      <c r="B11" s="8" t="s">
        <v>291</v>
      </c>
      <c r="C11" s="9">
        <v>0</v>
      </c>
      <c r="D11" s="10">
        <v>-77.794719999999998</v>
      </c>
      <c r="E11" s="9" t="e">
        <f t="shared" si="2"/>
        <v>#DIV/0!</v>
      </c>
      <c r="F11" s="9">
        <f>SUM(D11-C11)</f>
        <v>-77.794719999999998</v>
      </c>
    </row>
    <row r="12" spans="1:6" s="6" customFormat="1">
      <c r="A12" s="68">
        <v>1050000000</v>
      </c>
      <c r="B12" s="67" t="s">
        <v>7</v>
      </c>
      <c r="C12" s="5">
        <f>SUM(C13:C13)</f>
        <v>25</v>
      </c>
      <c r="D12" s="5">
        <f>SUM(D13:D13)</f>
        <v>21.5001</v>
      </c>
      <c r="E12" s="5">
        <f t="shared" si="0"/>
        <v>86.000399999999999</v>
      </c>
      <c r="F12" s="5">
        <f t="shared" si="1"/>
        <v>-3.4999000000000002</v>
      </c>
    </row>
    <row r="13" spans="1:6" ht="15.75" customHeight="1">
      <c r="A13" s="7">
        <v>1050300000</v>
      </c>
      <c r="B13" s="11" t="s">
        <v>230</v>
      </c>
      <c r="C13" s="12">
        <v>25</v>
      </c>
      <c r="D13" s="10">
        <v>21.5001</v>
      </c>
      <c r="E13" s="9">
        <f t="shared" si="0"/>
        <v>86.000399999999999</v>
      </c>
      <c r="F13" s="9">
        <f t="shared" si="1"/>
        <v>-3.4999000000000002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1655</v>
      </c>
      <c r="D14" s="5">
        <f>D15+D16</f>
        <v>1445.8395800000001</v>
      </c>
      <c r="E14" s="5">
        <f t="shared" si="0"/>
        <v>87.361908157099705</v>
      </c>
      <c r="F14" s="5">
        <f t="shared" si="1"/>
        <v>-209.16041999999993</v>
      </c>
    </row>
    <row r="15" spans="1:6" s="6" customFormat="1" ht="15.75" customHeight="1">
      <c r="A15" s="7">
        <v>1060100000</v>
      </c>
      <c r="B15" s="11" t="s">
        <v>9</v>
      </c>
      <c r="C15" s="9">
        <v>155</v>
      </c>
      <c r="D15" s="10">
        <v>194.19435999999999</v>
      </c>
      <c r="E15" s="9">
        <f t="shared" si="0"/>
        <v>125.28668387096774</v>
      </c>
      <c r="F15" s="9">
        <f>SUM(D15-C15)</f>
        <v>39.194359999999989</v>
      </c>
    </row>
    <row r="16" spans="1:6" ht="15.75" customHeight="1">
      <c r="A16" s="7">
        <v>1060600000</v>
      </c>
      <c r="B16" s="11" t="s">
        <v>8</v>
      </c>
      <c r="C16" s="9">
        <v>1500</v>
      </c>
      <c r="D16" s="10">
        <v>1251.6452200000001</v>
      </c>
      <c r="E16" s="9">
        <f t="shared" si="0"/>
        <v>83.44301466666667</v>
      </c>
      <c r="F16" s="9">
        <f t="shared" si="1"/>
        <v>-248.35477999999989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14.237209999999999</v>
      </c>
      <c r="E17" s="5">
        <f t="shared" si="0"/>
        <v>118.64341666666667</v>
      </c>
      <c r="F17" s="5">
        <f t="shared" si="1"/>
        <v>2.2372099999999993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14.237209999999999</v>
      </c>
      <c r="E18" s="9">
        <f t="shared" si="0"/>
        <v>118.64341666666667</v>
      </c>
      <c r="F18" s="9">
        <f t="shared" si="1"/>
        <v>2.2372099999999993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C26+C30+C32+C37+C35</f>
        <v>115</v>
      </c>
      <c r="D25" s="5">
        <f>D30+D37+D26+D35</f>
        <v>163.58184999999997</v>
      </c>
      <c r="E25" s="5">
        <f t="shared" si="0"/>
        <v>142.2450869565217</v>
      </c>
      <c r="F25" s="5">
        <f t="shared" si="1"/>
        <v>48.581849999999974</v>
      </c>
    </row>
    <row r="26" spans="1:6" s="6" customFormat="1" ht="30.75" customHeight="1">
      <c r="A26" s="68">
        <v>1110000000</v>
      </c>
      <c r="B26" s="69" t="s">
        <v>129</v>
      </c>
      <c r="C26" s="5">
        <f>C27+C28</f>
        <v>85</v>
      </c>
      <c r="D26" s="5">
        <f>D27+D28</f>
        <v>93.729829999999993</v>
      </c>
      <c r="E26" s="5">
        <f t="shared" si="0"/>
        <v>110.27038823529412</v>
      </c>
      <c r="F26" s="5">
        <f t="shared" si="1"/>
        <v>8.7298299999999927</v>
      </c>
    </row>
    <row r="27" spans="1:6" ht="15.75" customHeight="1">
      <c r="A27" s="16">
        <v>1110502510</v>
      </c>
      <c r="B27" s="17" t="s">
        <v>226</v>
      </c>
      <c r="C27" s="12">
        <v>30</v>
      </c>
      <c r="D27" s="10">
        <v>40.726370000000003</v>
      </c>
      <c r="E27" s="9">
        <f t="shared" si="0"/>
        <v>135.75456666666668</v>
      </c>
      <c r="F27" s="9">
        <f t="shared" si="1"/>
        <v>10.726370000000003</v>
      </c>
    </row>
    <row r="28" spans="1:6" ht="15.75" customHeight="1">
      <c r="A28" s="7">
        <v>1110503510</v>
      </c>
      <c r="B28" s="11" t="s">
        <v>225</v>
      </c>
      <c r="C28" s="12">
        <v>55</v>
      </c>
      <c r="D28" s="10">
        <v>53.003459999999997</v>
      </c>
      <c r="E28" s="9">
        <f t="shared" si="0"/>
        <v>96.369927272727267</v>
      </c>
      <c r="F28" s="9">
        <f t="shared" si="1"/>
        <v>-1.9965400000000031</v>
      </c>
    </row>
    <row r="29" spans="1:6" ht="15.75" customHeight="1">
      <c r="A29" s="7">
        <v>1110532510</v>
      </c>
      <c r="B29" s="11" t="s">
        <v>362</v>
      </c>
      <c r="C29" s="12">
        <v>0</v>
      </c>
      <c r="D29" s="245">
        <v>0</v>
      </c>
      <c r="E29" s="9" t="e">
        <f>SUM(D28/C29*100)</f>
        <v>#DIV/0!</v>
      </c>
      <c r="F29" s="9">
        <f>SUM(D28-C29)</f>
        <v>53.003459999999997</v>
      </c>
    </row>
    <row r="30" spans="1:6" s="15" customFormat="1" ht="29.25">
      <c r="A30" s="68">
        <v>1130000000</v>
      </c>
      <c r="B30" s="69" t="s">
        <v>131</v>
      </c>
      <c r="C30" s="5">
        <f>C31</f>
        <v>30</v>
      </c>
      <c r="D30" s="5">
        <f>D31</f>
        <v>56.903869999999998</v>
      </c>
      <c r="E30" s="5">
        <f t="shared" si="0"/>
        <v>189.67956666666666</v>
      </c>
      <c r="F30" s="5">
        <f t="shared" si="1"/>
        <v>26.903869999999998</v>
      </c>
    </row>
    <row r="31" spans="1:6" ht="17.25" customHeight="1">
      <c r="A31" s="7">
        <v>1130206005</v>
      </c>
      <c r="B31" s="8" t="s">
        <v>224</v>
      </c>
      <c r="C31" s="9">
        <v>30</v>
      </c>
      <c r="D31" s="10">
        <v>56.903869999999998</v>
      </c>
      <c r="E31" s="9">
        <f t="shared" si="0"/>
        <v>189.67956666666666</v>
      </c>
      <c r="F31" s="9">
        <f t="shared" si="1"/>
        <v>26.903869999999998</v>
      </c>
    </row>
    <row r="32" spans="1:6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>
      <c r="A33" s="16">
        <v>1140200000</v>
      </c>
      <c r="B33" s="1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3">
        <v>1160000000</v>
      </c>
      <c r="B35" s="13" t="s">
        <v>252</v>
      </c>
      <c r="C35" s="5">
        <f>C36</f>
        <v>0</v>
      </c>
      <c r="D35" s="14">
        <f>D36</f>
        <v>12.99113</v>
      </c>
      <c r="E35" s="5" t="e">
        <f>SUM(D35/C35*100)</f>
        <v>#DIV/0!</v>
      </c>
      <c r="F35" s="5">
        <f>SUM(D35-C35)</f>
        <v>12.99113</v>
      </c>
    </row>
    <row r="36" spans="1:7" ht="47.25">
      <c r="A36" s="7">
        <v>1163305010</v>
      </c>
      <c r="B36" s="8" t="s">
        <v>268</v>
      </c>
      <c r="C36" s="9">
        <v>0</v>
      </c>
      <c r="D36" s="10">
        <v>12.99113</v>
      </c>
      <c r="E36" s="9" t="e">
        <f>SUM(D36/C36*100)</f>
        <v>#DIV/0!</v>
      </c>
      <c r="F36" s="9">
        <f>SUM(D36-C36)</f>
        <v>12.99113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-4.2979999999999997E-2</v>
      </c>
      <c r="E37" s="5" t="e">
        <f t="shared" si="0"/>
        <v>#DIV/0!</v>
      </c>
      <c r="F37" s="5">
        <f t="shared" si="1"/>
        <v>-4.2979999999999997E-2</v>
      </c>
    </row>
    <row r="38" spans="1:7">
      <c r="A38" s="7">
        <v>1170105010</v>
      </c>
      <c r="B38" s="8" t="s">
        <v>18</v>
      </c>
      <c r="C38" s="9">
        <v>0</v>
      </c>
      <c r="D38" s="9">
        <v>-4.2979999999999997E-2</v>
      </c>
      <c r="E38" s="9" t="e">
        <f t="shared" si="0"/>
        <v>#DIV/0!</v>
      </c>
      <c r="F38" s="9">
        <f t="shared" si="1"/>
        <v>-4.2979999999999997E-2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19</v>
      </c>
      <c r="C40" s="127">
        <f>SUM(C4,C25)</f>
        <v>2660.75</v>
      </c>
      <c r="D40" s="127">
        <f>D4+D25</f>
        <v>2571.4084400000002</v>
      </c>
      <c r="E40" s="5">
        <f t="shared" si="0"/>
        <v>96.642241473268825</v>
      </c>
      <c r="F40" s="5">
        <f t="shared" si="1"/>
        <v>-89.341559999999845</v>
      </c>
    </row>
    <row r="41" spans="1:7" s="6" customFormat="1">
      <c r="A41" s="3">
        <v>2000000000</v>
      </c>
      <c r="B41" s="4" t="s">
        <v>20</v>
      </c>
      <c r="C41" s="343">
        <f>C42+C44+C45+C47+C48+C49+C43+C51</f>
        <v>6236.91849</v>
      </c>
      <c r="D41" s="343">
        <f>D42+D44+D45+D47+D48+D49+D43+D51</f>
        <v>6298.6197600000005</v>
      </c>
      <c r="E41" s="5">
        <f t="shared" si="0"/>
        <v>100.98929094710681</v>
      </c>
      <c r="F41" s="5">
        <f t="shared" si="1"/>
        <v>61.701270000000477</v>
      </c>
      <c r="G41" s="19"/>
    </row>
    <row r="42" spans="1:7" ht="17.25" customHeight="1">
      <c r="A42" s="16">
        <v>2021000000</v>
      </c>
      <c r="B42" s="17" t="s">
        <v>21</v>
      </c>
      <c r="C42" s="12">
        <f>1767.2+53.973</f>
        <v>1821.173</v>
      </c>
      <c r="D42" s="443">
        <f>1767.2+53.973</f>
        <v>1821.173</v>
      </c>
      <c r="E42" s="9">
        <f t="shared" si="0"/>
        <v>100</v>
      </c>
      <c r="F42" s="9">
        <f t="shared" si="1"/>
        <v>0</v>
      </c>
    </row>
    <row r="43" spans="1:7" ht="17.25" customHeight="1">
      <c r="A43" s="16">
        <v>2021500200</v>
      </c>
      <c r="B43" s="17" t="s">
        <v>232</v>
      </c>
      <c r="C43" s="444">
        <v>314.46699999999998</v>
      </c>
      <c r="D43" s="20">
        <v>314.46699999999998</v>
      </c>
      <c r="E43" s="9">
        <f t="shared" si="0"/>
        <v>100</v>
      </c>
      <c r="F43" s="9">
        <f t="shared" si="1"/>
        <v>0</v>
      </c>
    </row>
    <row r="44" spans="1:7">
      <c r="A44" s="16">
        <v>2022000000</v>
      </c>
      <c r="B44" s="17" t="s">
        <v>22</v>
      </c>
      <c r="C44" s="12">
        <v>3261.7984900000001</v>
      </c>
      <c r="D44" s="10">
        <v>2803.71783</v>
      </c>
      <c r="E44" s="9">
        <f t="shared" si="0"/>
        <v>85.956193756163017</v>
      </c>
      <c r="F44" s="9">
        <f t="shared" si="1"/>
        <v>-458.08066000000008</v>
      </c>
    </row>
    <row r="45" spans="1:7" ht="15.75" customHeight="1">
      <c r="A45" s="16">
        <v>2023000000</v>
      </c>
      <c r="B45" s="17" t="s">
        <v>23</v>
      </c>
      <c r="C45" s="12">
        <v>175.78700000000001</v>
      </c>
      <c r="D45" s="251">
        <v>175.78700000000001</v>
      </c>
      <c r="E45" s="9">
        <f t="shared" si="0"/>
        <v>100</v>
      </c>
      <c r="F45" s="9">
        <f t="shared" si="1"/>
        <v>0</v>
      </c>
    </row>
    <row r="46" spans="1:7" ht="15" hidden="1" customHeight="1">
      <c r="A46" s="16">
        <v>2070503010</v>
      </c>
      <c r="B46" s="17" t="s">
        <v>271</v>
      </c>
      <c r="C46" s="12">
        <v>0</v>
      </c>
      <c r="D46" s="251">
        <v>0</v>
      </c>
      <c r="E46" s="9" t="e">
        <f t="shared" si="0"/>
        <v>#DIV/0!</v>
      </c>
      <c r="F46" s="9">
        <f t="shared" si="1"/>
        <v>0</v>
      </c>
    </row>
    <row r="47" spans="1:7" hidden="1">
      <c r="A47" s="16">
        <v>2020400000</v>
      </c>
      <c r="B47" s="17" t="s">
        <v>24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31.5" hidden="1">
      <c r="A48" s="16">
        <v>2020900000</v>
      </c>
      <c r="B48" s="18" t="s">
        <v>25</v>
      </c>
      <c r="C48" s="12"/>
      <c r="D48" s="252"/>
      <c r="E48" s="9" t="e">
        <f t="shared" si="0"/>
        <v>#DIV/0!</v>
      </c>
      <c r="F48" s="9">
        <f t="shared" si="1"/>
        <v>0</v>
      </c>
    </row>
    <row r="49" spans="1:7" hidden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7" s="6" customFormat="1">
      <c r="A51" s="7">
        <v>2070502010</v>
      </c>
      <c r="B51" s="8" t="s">
        <v>303</v>
      </c>
      <c r="C51" s="327">
        <v>663.69299999999998</v>
      </c>
      <c r="D51" s="328">
        <v>1183.4749300000001</v>
      </c>
      <c r="E51" s="9">
        <f t="shared" si="0"/>
        <v>178.31662078702053</v>
      </c>
      <c r="F51" s="9">
        <f t="shared" si="1"/>
        <v>519.7819300000001</v>
      </c>
    </row>
    <row r="52" spans="1:7" s="6" customFormat="1">
      <c r="A52" s="3"/>
      <c r="B52" s="4" t="s">
        <v>28</v>
      </c>
      <c r="C52" s="373">
        <f>SUM(C40,C41,C50)</f>
        <v>8897.66849</v>
      </c>
      <c r="D52" s="374">
        <f>D40+D41</f>
        <v>8870.0282000000007</v>
      </c>
      <c r="E52" s="5">
        <f t="shared" si="0"/>
        <v>99.689353564576336</v>
      </c>
      <c r="F52" s="5">
        <f t="shared" si="1"/>
        <v>-27.640289999999368</v>
      </c>
      <c r="G52" s="94"/>
    </row>
    <row r="53" spans="1:7" s="6" customFormat="1">
      <c r="A53" s="3"/>
      <c r="B53" s="21" t="s">
        <v>321</v>
      </c>
      <c r="C53" s="375">
        <f>C52-C99</f>
        <v>-2198.5853299999999</v>
      </c>
      <c r="D53" s="375">
        <f>D52-D99</f>
        <v>-781.84651999999915</v>
      </c>
      <c r="E53" s="22"/>
      <c r="F53" s="22"/>
    </row>
    <row r="54" spans="1:7" ht="32.25" customHeight="1">
      <c r="A54" s="23"/>
      <c r="B54" s="24"/>
      <c r="C54" s="247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415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6.5" customHeight="1">
      <c r="A57" s="30" t="s">
        <v>30</v>
      </c>
      <c r="B57" s="31" t="s">
        <v>31</v>
      </c>
      <c r="C57" s="32">
        <f>C58+C59+C60+C61+C62+C64+C63</f>
        <v>1332.5150000000001</v>
      </c>
      <c r="D57" s="33">
        <f>D58+D59+D60+D61+D62+D64+D63</f>
        <v>1283.97244</v>
      </c>
      <c r="E57" s="34">
        <f>SUM(D57/C57*100)</f>
        <v>96.357072153033911</v>
      </c>
      <c r="F57" s="34">
        <f>SUM(D57-C57)</f>
        <v>-48.542560000000094</v>
      </c>
    </row>
    <row r="58" spans="1:7" s="6" customFormat="1" ht="31.5" hidden="1">
      <c r="A58" s="35" t="s">
        <v>32</v>
      </c>
      <c r="B58" s="36" t="s">
        <v>33</v>
      </c>
      <c r="C58" s="37"/>
      <c r="D58" s="37"/>
      <c r="E58" s="38"/>
      <c r="F58" s="38"/>
    </row>
    <row r="59" spans="1:7" ht="18.75" customHeight="1">
      <c r="A59" s="35" t="s">
        <v>34</v>
      </c>
      <c r="B59" s="39" t="s">
        <v>35</v>
      </c>
      <c r="C59" s="37">
        <v>1306.19</v>
      </c>
      <c r="D59" s="37">
        <v>1263.66544</v>
      </c>
      <c r="E59" s="38">
        <f t="shared" ref="E59:E99" si="3">SUM(D59/C59*100)</f>
        <v>96.744381751506282</v>
      </c>
      <c r="F59" s="38">
        <f t="shared" ref="F59:F99" si="4">SUM(D59-C59)</f>
        <v>-42.524560000000065</v>
      </c>
    </row>
    <row r="60" spans="1:7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5" customHeight="1">
      <c r="A64" s="35" t="s">
        <v>44</v>
      </c>
      <c r="B64" s="39" t="s">
        <v>45</v>
      </c>
      <c r="C64" s="37">
        <v>21.324999999999999</v>
      </c>
      <c r="D64" s="37">
        <v>20.306999999999999</v>
      </c>
      <c r="E64" s="38">
        <f t="shared" si="3"/>
        <v>95.226260257913239</v>
      </c>
      <c r="F64" s="38">
        <f t="shared" si="4"/>
        <v>-1.0180000000000007</v>
      </c>
    </row>
    <row r="65" spans="1:7" s="6" customFormat="1">
      <c r="A65" s="41" t="s">
        <v>46</v>
      </c>
      <c r="B65" s="42" t="s">
        <v>47</v>
      </c>
      <c r="C65" s="32">
        <f>C66</f>
        <v>170.749</v>
      </c>
      <c r="D65" s="32">
        <f>D66</f>
        <v>170.749</v>
      </c>
      <c r="E65" s="34">
        <f t="shared" si="3"/>
        <v>100</v>
      </c>
      <c r="F65" s="34">
        <f t="shared" si="4"/>
        <v>0</v>
      </c>
    </row>
    <row r="66" spans="1:7">
      <c r="A66" s="43" t="s">
        <v>48</v>
      </c>
      <c r="B66" s="44" t="s">
        <v>49</v>
      </c>
      <c r="C66" s="37">
        <v>170.749</v>
      </c>
      <c r="D66" s="37">
        <v>170.749</v>
      </c>
      <c r="E66" s="38">
        <f t="shared" si="3"/>
        <v>100</v>
      </c>
      <c r="F66" s="38">
        <f t="shared" si="4"/>
        <v>0</v>
      </c>
    </row>
    <row r="67" spans="1:7" s="6" customFormat="1" ht="16.5" customHeight="1">
      <c r="A67" s="30" t="s">
        <v>50</v>
      </c>
      <c r="B67" s="31" t="s">
        <v>51</v>
      </c>
      <c r="C67" s="32">
        <f>C71+C70+C72</f>
        <v>41.530230000000003</v>
      </c>
      <c r="D67" s="32">
        <f>D71+D70+D72</f>
        <v>39.530230000000003</v>
      </c>
      <c r="E67" s="34">
        <f t="shared" si="3"/>
        <v>95.18423086026732</v>
      </c>
      <c r="F67" s="34">
        <f t="shared" si="4"/>
        <v>-2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96">
        <v>0</v>
      </c>
      <c r="D70" s="37">
        <v>0</v>
      </c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219</v>
      </c>
      <c r="B71" s="47" t="s">
        <v>220</v>
      </c>
      <c r="C71" s="37">
        <v>10</v>
      </c>
      <c r="D71" s="37">
        <v>8</v>
      </c>
      <c r="E71" s="34">
        <f t="shared" si="3"/>
        <v>80</v>
      </c>
      <c r="F71" s="34">
        <f t="shared" si="4"/>
        <v>-2</v>
      </c>
    </row>
    <row r="72" spans="1:7" ht="15.75" customHeight="1">
      <c r="A72" s="46" t="s">
        <v>360</v>
      </c>
      <c r="B72" s="47" t="s">
        <v>363</v>
      </c>
      <c r="C72" s="37">
        <v>31.53023</v>
      </c>
      <c r="D72" s="37">
        <v>31.53023</v>
      </c>
      <c r="E72" s="34">
        <f>SUM(D72/C72*100)</f>
        <v>100</v>
      </c>
      <c r="F72" s="34">
        <f>SUM(D72-C72)</f>
        <v>0</v>
      </c>
    </row>
    <row r="73" spans="1:7" s="6" customFormat="1" ht="24" customHeight="1">
      <c r="A73" s="30" t="s">
        <v>58</v>
      </c>
      <c r="B73" s="31" t="s">
        <v>59</v>
      </c>
      <c r="C73" s="48">
        <f>C74+C75+C76+C77</f>
        <v>5700.0415899999998</v>
      </c>
      <c r="D73" s="48">
        <f>SUM(D74:D77)</f>
        <v>4680.8533800000005</v>
      </c>
      <c r="E73" s="34">
        <f t="shared" si="3"/>
        <v>82.11963555164165</v>
      </c>
      <c r="F73" s="34">
        <f t="shared" si="4"/>
        <v>-1019.1882099999993</v>
      </c>
    </row>
    <row r="74" spans="1:7" ht="16.5" customHeight="1">
      <c r="A74" s="35" t="s">
        <v>60</v>
      </c>
      <c r="B74" s="39" t="s">
        <v>61</v>
      </c>
      <c r="C74" s="49">
        <v>12.5</v>
      </c>
      <c r="D74" s="37">
        <v>12.5</v>
      </c>
      <c r="E74" s="38">
        <f t="shared" si="3"/>
        <v>100</v>
      </c>
      <c r="F74" s="38">
        <f t="shared" si="4"/>
        <v>0</v>
      </c>
    </row>
    <row r="75" spans="1:7" s="6" customFormat="1" ht="17.25" customHeight="1">
      <c r="A75" s="35" t="s">
        <v>62</v>
      </c>
      <c r="B75" s="39" t="s">
        <v>63</v>
      </c>
      <c r="C75" s="49">
        <v>425.23590000000002</v>
      </c>
      <c r="D75" s="37">
        <v>187.1979</v>
      </c>
      <c r="E75" s="38">
        <f t="shared" si="3"/>
        <v>44.02212983428727</v>
      </c>
      <c r="F75" s="38">
        <f t="shared" si="4"/>
        <v>-238.03800000000001</v>
      </c>
      <c r="G75" s="50"/>
    </row>
    <row r="76" spans="1:7" ht="18" customHeight="1">
      <c r="A76" s="35" t="s">
        <v>64</v>
      </c>
      <c r="B76" s="39" t="s">
        <v>65</v>
      </c>
      <c r="C76" s="49">
        <v>5051.3646900000003</v>
      </c>
      <c r="D76" s="37">
        <v>4280.7848899999999</v>
      </c>
      <c r="E76" s="38">
        <f t="shared" si="3"/>
        <v>84.745116472673445</v>
      </c>
      <c r="F76" s="38">
        <f t="shared" si="4"/>
        <v>-770.57980000000043</v>
      </c>
    </row>
    <row r="77" spans="1:7">
      <c r="A77" s="35" t="s">
        <v>66</v>
      </c>
      <c r="B77" s="39" t="s">
        <v>67</v>
      </c>
      <c r="C77" s="49">
        <v>210.941</v>
      </c>
      <c r="D77" s="37">
        <v>200.37058999999999</v>
      </c>
      <c r="E77" s="38">
        <f t="shared" si="3"/>
        <v>94.988925813379083</v>
      </c>
      <c r="F77" s="38">
        <f t="shared" si="4"/>
        <v>-10.57041000000001</v>
      </c>
    </row>
    <row r="78" spans="1:7" s="6" customFormat="1" ht="15.75" customHeight="1">
      <c r="A78" s="30" t="s">
        <v>68</v>
      </c>
      <c r="B78" s="31" t="s">
        <v>69</v>
      </c>
      <c r="C78" s="32">
        <f>SUM(C79:C81)</f>
        <v>583.77499999999998</v>
      </c>
      <c r="D78" s="32">
        <f>SUM(D79:D81)</f>
        <v>571.52724000000001</v>
      </c>
      <c r="E78" s="34">
        <f t="shared" si="3"/>
        <v>97.901972506530782</v>
      </c>
      <c r="F78" s="34">
        <f t="shared" si="4"/>
        <v>-12.247759999999971</v>
      </c>
    </row>
    <row r="79" spans="1:7" hidden="1">
      <c r="A79" s="35" t="s">
        <v>70</v>
      </c>
      <c r="B79" s="51" t="s">
        <v>71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customHeight="1">
      <c r="A80" s="35" t="s">
        <v>72</v>
      </c>
      <c r="B80" s="51" t="s">
        <v>73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583.77499999999998</v>
      </c>
      <c r="D81" s="37">
        <v>571.52724000000001</v>
      </c>
      <c r="E81" s="38">
        <f>SUM(D81/C81*100)</f>
        <v>97.901972506530782</v>
      </c>
      <c r="F81" s="38">
        <f t="shared" si="4"/>
        <v>-12.247759999999971</v>
      </c>
    </row>
    <row r="82" spans="1:6" s="6" customFormat="1" hidden="1">
      <c r="A82" s="30" t="s">
        <v>86</v>
      </c>
      <c r="B82" s="31" t="s">
        <v>87</v>
      </c>
      <c r="C82" s="32">
        <f>C83</f>
        <v>3212.143</v>
      </c>
      <c r="D82" s="32">
        <f>D83</f>
        <v>2856.6754299999998</v>
      </c>
      <c r="E82" s="34">
        <f t="shared" si="3"/>
        <v>88.933631846402847</v>
      </c>
      <c r="F82" s="34">
        <f t="shared" si="4"/>
        <v>-355.46757000000025</v>
      </c>
    </row>
    <row r="83" spans="1:6" ht="18.75" hidden="1" customHeight="1">
      <c r="A83" s="35" t="s">
        <v>88</v>
      </c>
      <c r="B83" s="39" t="s">
        <v>234</v>
      </c>
      <c r="C83" s="37">
        <v>3212.143</v>
      </c>
      <c r="D83" s="37">
        <v>2856.6754299999998</v>
      </c>
      <c r="E83" s="38">
        <f t="shared" si="3"/>
        <v>88.933631846402847</v>
      </c>
      <c r="F83" s="38">
        <f t="shared" si="4"/>
        <v>-355.46757000000025</v>
      </c>
    </row>
    <row r="84" spans="1:6" s="6" customFormat="1" ht="0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5.25" hidden="1" customHeight="1">
      <c r="A88" s="35" t="s">
        <v>93</v>
      </c>
      <c r="B88" s="39" t="s">
        <v>94</v>
      </c>
      <c r="C88" s="37"/>
      <c r="D88" s="37"/>
      <c r="E88" s="38"/>
      <c r="F88" s="38">
        <f t="shared" si="4"/>
        <v>0</v>
      </c>
    </row>
    <row r="89" spans="1:6">
      <c r="A89" s="30" t="s">
        <v>95</v>
      </c>
      <c r="B89" s="31" t="s">
        <v>96</v>
      </c>
      <c r="C89" s="32">
        <f>C90+C91+C92+C93+C94</f>
        <v>55.5</v>
      </c>
      <c r="D89" s="32">
        <f>D90+D91+D92+D93+D94</f>
        <v>48.567</v>
      </c>
      <c r="E89" s="38">
        <f t="shared" si="3"/>
        <v>87.508108108108104</v>
      </c>
      <c r="F89" s="22">
        <f>F90+F91+F92+F93+F94</f>
        <v>-6.9329999999999998</v>
      </c>
    </row>
    <row r="90" spans="1:6" ht="17.25" customHeight="1">
      <c r="A90" s="35" t="s">
        <v>97</v>
      </c>
      <c r="B90" s="39" t="s">
        <v>98</v>
      </c>
      <c r="C90" s="37">
        <v>55.5</v>
      </c>
      <c r="D90" s="37">
        <v>48.567</v>
      </c>
      <c r="E90" s="38">
        <f t="shared" si="3"/>
        <v>87.508108108108104</v>
      </c>
      <c r="F90" s="38">
        <f>SUM(D90-C90)</f>
        <v>-6.9329999999999998</v>
      </c>
    </row>
    <row r="91" spans="1:6" ht="15.75" hidden="1" customHeight="1">
      <c r="A91" s="35" t="s">
        <v>99</v>
      </c>
      <c r="B91" s="39" t="s">
        <v>100</v>
      </c>
      <c r="C91" s="37"/>
      <c r="D91" s="136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101</v>
      </c>
      <c r="B92" s="39" t="s">
        <v>102</v>
      </c>
      <c r="C92" s="37"/>
      <c r="D92" s="136"/>
      <c r="E92" s="38" t="e">
        <f t="shared" si="3"/>
        <v>#DIV/0!</v>
      </c>
      <c r="F92" s="38"/>
    </row>
    <row r="93" spans="1:6" ht="15.75" hidden="1" customHeight="1">
      <c r="A93" s="35" t="s">
        <v>103</v>
      </c>
      <c r="B93" s="39" t="s">
        <v>104</v>
      </c>
      <c r="C93" s="37"/>
      <c r="D93" s="136"/>
      <c r="E93" s="38" t="e">
        <f t="shared" si="3"/>
        <v>#DIV/0!</v>
      </c>
      <c r="F93" s="38"/>
    </row>
    <row r="94" spans="1:6" ht="15.75" hidden="1" customHeight="1">
      <c r="A94" s="35" t="s">
        <v>105</v>
      </c>
      <c r="B94" s="39" t="s">
        <v>106</v>
      </c>
      <c r="C94" s="37"/>
      <c r="D94" s="136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115</v>
      </c>
      <c r="C95" s="48">
        <f>C96+C97+C98</f>
        <v>0</v>
      </c>
      <c r="D95" s="224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116</v>
      </c>
      <c r="C96" s="49"/>
      <c r="D96" s="240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118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119</v>
      </c>
      <c r="C99" s="377">
        <f>C57+C65+C67+C73+C78+C82+C84+C89+C95</f>
        <v>11096.25382</v>
      </c>
      <c r="D99" s="377">
        <f>D57+D65+D67+D73+D78+D82+D84+D89+D95</f>
        <v>9651.8747199999998</v>
      </c>
      <c r="E99" s="34">
        <f t="shared" si="3"/>
        <v>86.983182581885103</v>
      </c>
      <c r="F99" s="34">
        <f t="shared" si="4"/>
        <v>-1444.3791000000001</v>
      </c>
      <c r="G99" s="293"/>
      <c r="H99" s="151"/>
    </row>
    <row r="100" spans="1:8" ht="13.5" customHeight="1">
      <c r="C100" s="117"/>
      <c r="D100" s="61"/>
    </row>
    <row r="101" spans="1:8" s="65" customFormat="1" ht="12.75">
      <c r="A101" s="63" t="s">
        <v>120</v>
      </c>
      <c r="B101" s="63"/>
      <c r="C101" s="134"/>
      <c r="D101" s="134"/>
    </row>
    <row r="102" spans="1:8" s="65" customFormat="1" ht="12.75">
      <c r="A102" s="66" t="s">
        <v>121</v>
      </c>
      <c r="B102" s="66"/>
      <c r="C102" s="119" t="s">
        <v>122</v>
      </c>
    </row>
    <row r="104" spans="1:8" ht="5.25" customHeight="1"/>
  </sheetData>
  <customSheetViews>
    <customSheetView guid="{487FB2A4-0730-401E-81DB-8304F8599D85}" hiddenRows="1" topLeftCell="A36">
      <selection activeCell="D51" sqref="D51"/>
      <pageMargins left="0.7" right="0.7" top="0.75" bottom="0.75" header="0.3" footer="0.3"/>
      <pageSetup paperSize="9" scale="54" orientation="portrait" r:id="rId1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3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4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5"/>
    </customSheetView>
    <customSheetView guid="{B30CE22D-C12F-4E12-8BB9-3AAE0A6991CC}" scale="70" showPageBreaks="1" printArea="1" hiddenRows="1" view="pageBreakPreview" topLeftCell="A25">
      <selection activeCell="C82" sqref="C82"/>
      <pageMargins left="0.70866141732283472" right="0.70866141732283472" top="0.74803149606299213" bottom="0.74803149606299213" header="0.31496062992125984" footer="0.31496062992125984"/>
      <pageSetup paperSize="9" scale="59" orientation="portrait" r:id="rId6"/>
    </customSheetView>
    <customSheetView guid="{5BFCA170-DEAE-4D2C-98A0-1E68B427AC01}" showPageBreaks="1" printArea="1" hiddenRows="1" topLeftCell="A36">
      <selection activeCell="D51" sqref="D51"/>
      <pageMargins left="0.7" right="0.7" top="0.75" bottom="0.75" header="0.3" footer="0.3"/>
      <pageSetup paperSize="9" scale="54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8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99"/>
  <sheetViews>
    <sheetView tabSelected="1" topLeftCell="A6" zoomScaleNormal="100" zoomScaleSheetLayoutView="70" workbookViewId="0">
      <selection activeCell="D28" sqref="D28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16" t="s">
        <v>434</v>
      </c>
      <c r="B1" s="516"/>
      <c r="C1" s="516"/>
      <c r="D1" s="516"/>
      <c r="E1" s="516"/>
      <c r="F1" s="516"/>
    </row>
    <row r="2" spans="1:6">
      <c r="A2" s="516"/>
      <c r="B2" s="516"/>
      <c r="C2" s="516"/>
      <c r="D2" s="516"/>
      <c r="E2" s="516"/>
      <c r="F2" s="516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419</v>
      </c>
      <c r="E3" s="72" t="s">
        <v>3</v>
      </c>
      <c r="F3" s="74" t="s">
        <v>4</v>
      </c>
    </row>
    <row r="4" spans="1:6" s="6" customFormat="1" ht="17.25" customHeight="1">
      <c r="A4" s="3"/>
      <c r="B4" s="4" t="s">
        <v>5</v>
      </c>
      <c r="C4" s="5">
        <f>C5+C12+C14+C17+C7</f>
        <v>1770.1619999999998</v>
      </c>
      <c r="D4" s="5">
        <f>D5+D12+D14+D17+D7</f>
        <v>1586.4520199999999</v>
      </c>
      <c r="E4" s="5">
        <f>SUM(D4/C4*100)</f>
        <v>89.6218549488691</v>
      </c>
      <c r="F4" s="5">
        <f>SUM(D4-C4)</f>
        <v>-183.70997999999986</v>
      </c>
    </row>
    <row r="5" spans="1:6" s="6" customFormat="1">
      <c r="A5" s="3">
        <v>1010000000</v>
      </c>
      <c r="B5" s="4" t="s">
        <v>6</v>
      </c>
      <c r="C5" s="5">
        <f>C6</f>
        <v>101.6</v>
      </c>
      <c r="D5" s="5">
        <f>D6</f>
        <v>110.96032</v>
      </c>
      <c r="E5" s="5">
        <f t="shared" ref="E5:E48" si="0">SUM(D5/C5*100)</f>
        <v>109.21291338582677</v>
      </c>
      <c r="F5" s="5">
        <f t="shared" ref="F5:F48" si="1">SUM(D5-C5)</f>
        <v>9.3603200000000015</v>
      </c>
    </row>
    <row r="6" spans="1:6">
      <c r="A6" s="7">
        <v>1010200001</v>
      </c>
      <c r="B6" s="8" t="s">
        <v>229</v>
      </c>
      <c r="C6" s="9">
        <v>101.6</v>
      </c>
      <c r="D6" s="10">
        <v>110.96032</v>
      </c>
      <c r="E6" s="9">
        <f t="shared" ref="E6:E11" si="2">SUM(D6/C6*100)</f>
        <v>109.21291338582677</v>
      </c>
      <c r="F6" s="9">
        <f t="shared" si="1"/>
        <v>9.3603200000000015</v>
      </c>
    </row>
    <row r="7" spans="1:6" ht="31.5">
      <c r="A7" s="3">
        <v>1030000000</v>
      </c>
      <c r="B7" s="13" t="s">
        <v>281</v>
      </c>
      <c r="C7" s="5">
        <f>C8+C10+C9</f>
        <v>420.56</v>
      </c>
      <c r="D7" s="5">
        <f>D8+D10+D9+D11</f>
        <v>447.56185999999997</v>
      </c>
      <c r="E7" s="5">
        <f t="shared" si="2"/>
        <v>106.42045368080653</v>
      </c>
      <c r="F7" s="5">
        <f t="shared" si="1"/>
        <v>27.001859999999965</v>
      </c>
    </row>
    <row r="8" spans="1:6">
      <c r="A8" s="7">
        <v>1030223001</v>
      </c>
      <c r="B8" s="8" t="s">
        <v>283</v>
      </c>
      <c r="C8" s="9">
        <v>156.87</v>
      </c>
      <c r="D8" s="10">
        <v>199.41806</v>
      </c>
      <c r="E8" s="9">
        <f t="shared" si="2"/>
        <v>127.1231338050615</v>
      </c>
      <c r="F8" s="9">
        <f t="shared" si="1"/>
        <v>42.548059999999992</v>
      </c>
    </row>
    <row r="9" spans="1:6">
      <c r="A9" s="7">
        <v>1030224001</v>
      </c>
      <c r="B9" s="8" t="s">
        <v>289</v>
      </c>
      <c r="C9" s="9">
        <v>1.68</v>
      </c>
      <c r="D9" s="10">
        <v>1.9204399999999999</v>
      </c>
      <c r="E9" s="9">
        <f t="shared" si="2"/>
        <v>114.31190476190476</v>
      </c>
      <c r="F9" s="9">
        <f t="shared" si="1"/>
        <v>0.24043999999999999</v>
      </c>
    </row>
    <row r="10" spans="1:6">
      <c r="A10" s="7">
        <v>1030225001</v>
      </c>
      <c r="B10" s="8" t="s">
        <v>282</v>
      </c>
      <c r="C10" s="9">
        <v>262.01</v>
      </c>
      <c r="D10" s="10">
        <v>290.90426000000002</v>
      </c>
      <c r="E10" s="9">
        <f t="shared" si="2"/>
        <v>111.02792259837413</v>
      </c>
      <c r="F10" s="9">
        <f t="shared" si="1"/>
        <v>28.894260000000031</v>
      </c>
    </row>
    <row r="11" spans="1:6">
      <c r="A11" s="7">
        <v>1030226001</v>
      </c>
      <c r="B11" s="8" t="s">
        <v>291</v>
      </c>
      <c r="C11" s="9">
        <v>0</v>
      </c>
      <c r="D11" s="10">
        <v>-44.680900000000001</v>
      </c>
      <c r="E11" s="9" t="e">
        <f t="shared" si="2"/>
        <v>#DIV/0!</v>
      </c>
      <c r="F11" s="9">
        <f t="shared" si="1"/>
        <v>-44.680900000000001</v>
      </c>
    </row>
    <row r="12" spans="1:6" s="6" customFormat="1">
      <c r="A12" s="3">
        <v>1050000000</v>
      </c>
      <c r="B12" s="4" t="s">
        <v>7</v>
      </c>
      <c r="C12" s="5">
        <f>SUM(C13:C13)</f>
        <v>5</v>
      </c>
      <c r="D12" s="5">
        <f>SUM(D13:D13)</f>
        <v>0.1038</v>
      </c>
      <c r="E12" s="5">
        <f t="shared" si="0"/>
        <v>2.0760000000000001</v>
      </c>
      <c r="F12" s="5">
        <f t="shared" si="1"/>
        <v>-4.8962000000000003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0.1038</v>
      </c>
      <c r="E13" s="9">
        <f t="shared" si="0"/>
        <v>2.0760000000000001</v>
      </c>
      <c r="F13" s="9">
        <f t="shared" si="1"/>
        <v>-4.8962000000000003</v>
      </c>
    </row>
    <row r="14" spans="1:6" s="6" customFormat="1" ht="15.75" customHeight="1">
      <c r="A14" s="3">
        <v>1060000000</v>
      </c>
      <c r="B14" s="4" t="s">
        <v>136</v>
      </c>
      <c r="C14" s="5">
        <f>C15+C16</f>
        <v>1235</v>
      </c>
      <c r="D14" s="5">
        <f>D15+D16</f>
        <v>1023.74504</v>
      </c>
      <c r="E14" s="5">
        <f t="shared" si="0"/>
        <v>82.894335222672069</v>
      </c>
      <c r="F14" s="5">
        <f t="shared" si="1"/>
        <v>-211.25495999999998</v>
      </c>
    </row>
    <row r="15" spans="1:6" s="6" customFormat="1" ht="15.75" customHeight="1">
      <c r="A15" s="7">
        <v>1060100000</v>
      </c>
      <c r="B15" s="11" t="s">
        <v>9</v>
      </c>
      <c r="C15" s="9">
        <v>235</v>
      </c>
      <c r="D15" s="10">
        <v>112.81574000000001</v>
      </c>
      <c r="E15" s="9">
        <f t="shared" si="0"/>
        <v>48.006697872340425</v>
      </c>
      <c r="F15" s="9">
        <f>SUM(D15-C15)</f>
        <v>-122.18425999999999</v>
      </c>
    </row>
    <row r="16" spans="1:6" ht="15.75" customHeight="1">
      <c r="A16" s="7">
        <v>1060600000</v>
      </c>
      <c r="B16" s="11" t="s">
        <v>8</v>
      </c>
      <c r="C16" s="9">
        <v>1000</v>
      </c>
      <c r="D16" s="10">
        <v>910.92930000000001</v>
      </c>
      <c r="E16" s="9">
        <f t="shared" si="0"/>
        <v>91.09293000000001</v>
      </c>
      <c r="F16" s="9">
        <f t="shared" si="1"/>
        <v>-89.070699999999988</v>
      </c>
    </row>
    <row r="17" spans="1:6" s="6" customFormat="1">
      <c r="A17" s="3">
        <v>1080000000</v>
      </c>
      <c r="B17" s="4" t="s">
        <v>11</v>
      </c>
      <c r="C17" s="5">
        <f>C18</f>
        <v>8.0020000000000007</v>
      </c>
      <c r="D17" s="5">
        <f>D18</f>
        <v>4.0810000000000004</v>
      </c>
      <c r="E17" s="5">
        <f t="shared" si="0"/>
        <v>50.999750062484381</v>
      </c>
      <c r="F17" s="5">
        <f t="shared" si="1"/>
        <v>-3.9210000000000003</v>
      </c>
    </row>
    <row r="18" spans="1:6">
      <c r="A18" s="7">
        <v>1080400001</v>
      </c>
      <c r="B18" s="8" t="s">
        <v>228</v>
      </c>
      <c r="C18" s="9">
        <v>8.0020000000000007</v>
      </c>
      <c r="D18" s="10">
        <v>4.0810000000000004</v>
      </c>
      <c r="E18" s="9">
        <f t="shared" si="0"/>
        <v>50.999750062484381</v>
      </c>
      <c r="F18" s="9">
        <f t="shared" si="1"/>
        <v>-3.9210000000000003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100</v>
      </c>
      <c r="D25" s="5">
        <f>D26+D29+D31+D34</f>
        <v>162.21713</v>
      </c>
      <c r="E25" s="5">
        <f t="shared" si="0"/>
        <v>162.21713</v>
      </c>
      <c r="F25" s="5">
        <f t="shared" si="1"/>
        <v>62.217129999999997</v>
      </c>
    </row>
    <row r="26" spans="1:6" s="6" customFormat="1" ht="32.25" customHeight="1">
      <c r="A26" s="3">
        <v>1110000000</v>
      </c>
      <c r="B26" s="13" t="s">
        <v>129</v>
      </c>
      <c r="C26" s="5">
        <f>C27+C28</f>
        <v>100</v>
      </c>
      <c r="D26" s="5">
        <f>D27+D28+D30</f>
        <v>162.21713</v>
      </c>
      <c r="E26" s="5">
        <f t="shared" si="0"/>
        <v>162.21713</v>
      </c>
      <c r="F26" s="5">
        <f t="shared" si="1"/>
        <v>62.217129999999997</v>
      </c>
    </row>
    <row r="27" spans="1:6" ht="15" customHeight="1">
      <c r="A27" s="16">
        <v>1110502510</v>
      </c>
      <c r="B27" s="17" t="s">
        <v>226</v>
      </c>
      <c r="C27" s="12">
        <v>100</v>
      </c>
      <c r="D27" s="10">
        <v>162.21713</v>
      </c>
      <c r="E27" s="5">
        <f t="shared" si="0"/>
        <v>162.21713</v>
      </c>
      <c r="F27" s="9">
        <f t="shared" si="1"/>
        <v>62.217129999999997</v>
      </c>
    </row>
    <row r="28" spans="1:6" ht="19.5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41.25" hidden="1" customHeight="1">
      <c r="A29" s="3">
        <v>1130000000</v>
      </c>
      <c r="B29" s="13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24" hidden="1" customHeight="1">
      <c r="A30" s="7">
        <v>1130305005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0.75" customHeight="1">
      <c r="A31" s="109">
        <v>1140000000</v>
      </c>
      <c r="B31" s="110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.75" hidden="1" customHeight="1">
      <c r="A32" s="16">
        <v>1140200000</v>
      </c>
      <c r="B32" s="18" t="s">
        <v>222</v>
      </c>
      <c r="C32" s="9"/>
      <c r="D32" s="10">
        <v>0</v>
      </c>
      <c r="E32" s="9" t="e">
        <f t="shared" si="0"/>
        <v>#DIV/0!</v>
      </c>
      <c r="F32" s="9">
        <f t="shared" si="1"/>
        <v>0</v>
      </c>
    </row>
    <row r="33" spans="1:8" ht="1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8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19</v>
      </c>
      <c r="C37" s="127">
        <f>SUM(C4,C25)</f>
        <v>1870.1619999999998</v>
      </c>
      <c r="D37" s="127">
        <f>D4+D25</f>
        <v>1748.6691499999999</v>
      </c>
      <c r="E37" s="5">
        <f t="shared" si="0"/>
        <v>93.503618937824641</v>
      </c>
      <c r="F37" s="5">
        <f t="shared" si="1"/>
        <v>-121.49284999999986</v>
      </c>
    </row>
    <row r="38" spans="1:8" s="6" customFormat="1">
      <c r="A38" s="3">
        <v>2000000000</v>
      </c>
      <c r="B38" s="4" t="s">
        <v>20</v>
      </c>
      <c r="C38" s="5">
        <f>C39+C41+C42+C44+C45+C46+C40</f>
        <v>7614.0149999999994</v>
      </c>
      <c r="D38" s="343">
        <f>D39+D41+D42+D44+D45+D46+D40</f>
        <v>7606.9419399999997</v>
      </c>
      <c r="E38" s="5">
        <f t="shared" si="0"/>
        <v>99.907104727269385</v>
      </c>
      <c r="F38" s="5">
        <f t="shared" si="1"/>
        <v>-7.0730599999997139</v>
      </c>
      <c r="G38" s="19"/>
    </row>
    <row r="39" spans="1:8">
      <c r="A39" s="16">
        <v>2021000000</v>
      </c>
      <c r="B39" s="17" t="s">
        <v>21</v>
      </c>
      <c r="C39" s="12">
        <f>940.2+34.871</f>
        <v>975.07100000000003</v>
      </c>
      <c r="D39" s="443">
        <f>940.2+34.871</f>
        <v>975.07100000000003</v>
      </c>
      <c r="E39" s="9">
        <f t="shared" si="0"/>
        <v>100</v>
      </c>
      <c r="F39" s="9">
        <f t="shared" si="1"/>
        <v>0</v>
      </c>
    </row>
    <row r="40" spans="1:8" ht="15.75" customHeight="1">
      <c r="A40" s="16">
        <v>2021500200</v>
      </c>
      <c r="B40" s="17" t="s">
        <v>232</v>
      </c>
      <c r="C40" s="12">
        <v>770</v>
      </c>
      <c r="D40" s="20">
        <v>770</v>
      </c>
      <c r="E40" s="9">
        <f t="shared" si="0"/>
        <v>100</v>
      </c>
      <c r="F40" s="9">
        <f t="shared" si="1"/>
        <v>0</v>
      </c>
    </row>
    <row r="41" spans="1:8">
      <c r="A41" s="16">
        <v>2022000000</v>
      </c>
      <c r="B41" s="17" t="s">
        <v>22</v>
      </c>
      <c r="C41" s="12">
        <v>5479.07809</v>
      </c>
      <c r="D41" s="10">
        <v>5525.0719399999998</v>
      </c>
      <c r="E41" s="9">
        <f t="shared" si="0"/>
        <v>100.83944505342868</v>
      </c>
      <c r="F41" s="9">
        <f t="shared" si="1"/>
        <v>45.993849999999838</v>
      </c>
    </row>
    <row r="42" spans="1:8" ht="13.5" customHeight="1">
      <c r="A42" s="16">
        <v>2023000000</v>
      </c>
      <c r="B42" s="17" t="s">
        <v>23</v>
      </c>
      <c r="C42" s="12">
        <v>88.876999999999995</v>
      </c>
      <c r="D42" s="251">
        <v>88.876999999999995</v>
      </c>
      <c r="E42" s="9">
        <f t="shared" si="0"/>
        <v>100</v>
      </c>
      <c r="F42" s="9">
        <f t="shared" si="1"/>
        <v>0</v>
      </c>
    </row>
    <row r="43" spans="1:8" hidden="1">
      <c r="A43" s="16">
        <v>2070503010</v>
      </c>
      <c r="B43" s="17" t="s">
        <v>271</v>
      </c>
      <c r="C43" s="12">
        <v>0</v>
      </c>
      <c r="D43" s="251">
        <v>0</v>
      </c>
      <c r="E43" s="9" t="e">
        <f t="shared" si="0"/>
        <v>#DIV/0!</v>
      </c>
      <c r="F43" s="9">
        <f t="shared" si="1"/>
        <v>0</v>
      </c>
    </row>
    <row r="44" spans="1:8">
      <c r="A44" s="16">
        <v>2020400000</v>
      </c>
      <c r="B44" s="17" t="s">
        <v>24</v>
      </c>
      <c r="C44" s="12">
        <v>46.06691</v>
      </c>
      <c r="D44" s="252">
        <v>0</v>
      </c>
      <c r="E44" s="9">
        <f t="shared" si="0"/>
        <v>0</v>
      </c>
      <c r="F44" s="9">
        <f t="shared" si="1"/>
        <v>-46.06691</v>
      </c>
    </row>
    <row r="45" spans="1:8" ht="19.5" customHeight="1">
      <c r="A45" s="16">
        <v>2070000000</v>
      </c>
      <c r="B45" s="18" t="s">
        <v>298</v>
      </c>
      <c r="C45" s="12">
        <v>254.922</v>
      </c>
      <c r="D45" s="252">
        <v>247.922</v>
      </c>
      <c r="E45" s="9">
        <v>922</v>
      </c>
      <c r="F45" s="9">
        <f t="shared" si="1"/>
        <v>-7</v>
      </c>
      <c r="G45" s="357"/>
      <c r="H45" s="357"/>
    </row>
    <row r="46" spans="1:8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8" s="6" customFormat="1" ht="31.5">
      <c r="A47" s="3">
        <v>3000000000</v>
      </c>
      <c r="B47" s="13" t="s">
        <v>27</v>
      </c>
      <c r="C47" s="277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28</v>
      </c>
      <c r="C48" s="371">
        <f>SUM(C37,C38,C47)</f>
        <v>9484.1769999999997</v>
      </c>
      <c r="D48" s="372">
        <f>D37+D38</f>
        <v>9355.6110900000003</v>
      </c>
      <c r="E48" s="5">
        <f t="shared" si="0"/>
        <v>98.644416800740871</v>
      </c>
      <c r="F48" s="5">
        <f t="shared" si="1"/>
        <v>-128.56590999999935</v>
      </c>
      <c r="G48" s="293"/>
    </row>
    <row r="49" spans="1:6" s="6" customFormat="1">
      <c r="A49" s="3"/>
      <c r="B49" s="21" t="s">
        <v>321</v>
      </c>
      <c r="C49" s="373">
        <f>C48-C94</f>
        <v>-53.659869999999501</v>
      </c>
      <c r="D49" s="373">
        <f>D48-D94</f>
        <v>-62.155369999998584</v>
      </c>
      <c r="E49" s="22"/>
      <c r="F49" s="22"/>
    </row>
    <row r="50" spans="1:6" ht="23.25" customHeight="1">
      <c r="A50" s="23"/>
      <c r="B50" s="24"/>
      <c r="C50" s="326"/>
      <c r="D50" s="326"/>
      <c r="E50" s="26"/>
      <c r="F50" s="27"/>
    </row>
    <row r="51" spans="1:6" ht="63">
      <c r="A51" s="28" t="s">
        <v>1</v>
      </c>
      <c r="B51" s="28" t="s">
        <v>29</v>
      </c>
      <c r="C51" s="72" t="s">
        <v>346</v>
      </c>
      <c r="D51" s="73" t="s">
        <v>415</v>
      </c>
      <c r="E51" s="72" t="s">
        <v>3</v>
      </c>
      <c r="F51" s="74" t="s">
        <v>4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30</v>
      </c>
      <c r="B53" s="31" t="s">
        <v>31</v>
      </c>
      <c r="C53" s="32">
        <f>C54+C55+C56+C57+C58+C60+C59</f>
        <v>1333.3573799999999</v>
      </c>
      <c r="D53" s="32">
        <f>D54+D55+D56+D57+D58+D60+D59</f>
        <v>1323.1620599999999</v>
      </c>
      <c r="E53" s="34">
        <f>SUM(D53/C53*100)</f>
        <v>99.235364790196002</v>
      </c>
      <c r="F53" s="34">
        <f>SUM(D53-C53)</f>
        <v>-10.195320000000038</v>
      </c>
    </row>
    <row r="54" spans="1:6" s="6" customFormat="1" ht="31.5" hidden="1">
      <c r="A54" s="35" t="s">
        <v>32</v>
      </c>
      <c r="B54" s="36" t="s">
        <v>33</v>
      </c>
      <c r="C54" s="37"/>
      <c r="D54" s="37"/>
      <c r="E54" s="38"/>
      <c r="F54" s="38"/>
    </row>
    <row r="55" spans="1:6" ht="20.25" customHeight="1">
      <c r="A55" s="35" t="s">
        <v>34</v>
      </c>
      <c r="B55" s="39" t="s">
        <v>35</v>
      </c>
      <c r="C55" s="37">
        <v>1322.10338</v>
      </c>
      <c r="D55" s="37">
        <v>1314.90806</v>
      </c>
      <c r="E55" s="38">
        <f t="shared" ref="E55:E94" si="3">SUM(D55/C55*100)</f>
        <v>99.455767218445501</v>
      </c>
      <c r="F55" s="38">
        <f t="shared" ref="F55:F94" si="4">SUM(D55-C55)</f>
        <v>-7.1953200000000379</v>
      </c>
    </row>
    <row r="56" spans="1:6" ht="16.5" hidden="1" customHeight="1">
      <c r="A56" s="35" t="s">
        <v>36</v>
      </c>
      <c r="B56" s="39" t="s">
        <v>37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38</v>
      </c>
      <c r="B57" s="39" t="s">
        <v>39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customHeight="1">
      <c r="A58" s="35" t="s">
        <v>40</v>
      </c>
      <c r="B58" s="39" t="s">
        <v>41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42</v>
      </c>
      <c r="B59" s="39" t="s">
        <v>43</v>
      </c>
      <c r="C59" s="40">
        <v>3</v>
      </c>
      <c r="D59" s="40">
        <v>0</v>
      </c>
      <c r="E59" s="38">
        <f t="shared" si="3"/>
        <v>0</v>
      </c>
      <c r="F59" s="38">
        <f t="shared" si="4"/>
        <v>-3</v>
      </c>
    </row>
    <row r="60" spans="1:6" ht="15.75" customHeight="1">
      <c r="A60" s="35" t="s">
        <v>44</v>
      </c>
      <c r="B60" s="39" t="s">
        <v>45</v>
      </c>
      <c r="C60" s="37">
        <v>8.2539999999999996</v>
      </c>
      <c r="D60" s="37">
        <v>8.2539999999999996</v>
      </c>
      <c r="E60" s="38">
        <f t="shared" si="3"/>
        <v>100</v>
      </c>
      <c r="F60" s="38">
        <f t="shared" si="4"/>
        <v>0</v>
      </c>
    </row>
    <row r="61" spans="1:6" s="6" customFormat="1">
      <c r="A61" s="41" t="s">
        <v>46</v>
      </c>
      <c r="B61" s="42" t="s">
        <v>47</v>
      </c>
      <c r="C61" s="32">
        <f>C62</f>
        <v>85.376999999999995</v>
      </c>
      <c r="D61" s="32">
        <f>D62</f>
        <v>85.376999999999995</v>
      </c>
      <c r="E61" s="34">
        <f t="shared" si="3"/>
        <v>100</v>
      </c>
      <c r="F61" s="34">
        <f t="shared" si="4"/>
        <v>0</v>
      </c>
    </row>
    <row r="62" spans="1:6">
      <c r="A62" s="43" t="s">
        <v>48</v>
      </c>
      <c r="B62" s="44" t="s">
        <v>49</v>
      </c>
      <c r="C62" s="37">
        <v>85.376999999999995</v>
      </c>
      <c r="D62" s="37">
        <v>85.376999999999995</v>
      </c>
      <c r="E62" s="38">
        <f t="shared" si="3"/>
        <v>100</v>
      </c>
      <c r="F62" s="38">
        <f t="shared" si="4"/>
        <v>0</v>
      </c>
    </row>
    <row r="63" spans="1:6" s="6" customFormat="1" ht="16.5" customHeight="1">
      <c r="A63" s="30" t="s">
        <v>50</v>
      </c>
      <c r="B63" s="31" t="s">
        <v>51</v>
      </c>
      <c r="C63" s="32">
        <f>C67+C66</f>
        <v>15.635999999999999</v>
      </c>
      <c r="D63" s="32">
        <f>D67+D66</f>
        <v>15.635999999999999</v>
      </c>
      <c r="E63" s="34">
        <f t="shared" si="3"/>
        <v>100</v>
      </c>
      <c r="F63" s="34">
        <f t="shared" si="4"/>
        <v>0</v>
      </c>
    </row>
    <row r="64" spans="1:6" hidden="1">
      <c r="A64" s="35" t="s">
        <v>52</v>
      </c>
      <c r="B64" s="39" t="s">
        <v>53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idden="1">
      <c r="A65" s="45" t="s">
        <v>54</v>
      </c>
      <c r="B65" s="39" t="s">
        <v>55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56</v>
      </c>
      <c r="B66" s="47" t="s">
        <v>57</v>
      </c>
      <c r="C66" s="96">
        <v>0</v>
      </c>
      <c r="D66" s="37">
        <v>0</v>
      </c>
      <c r="E66" s="34" t="e">
        <f t="shared" si="3"/>
        <v>#DIV/0!</v>
      </c>
      <c r="F66" s="34">
        <f t="shared" si="4"/>
        <v>0</v>
      </c>
    </row>
    <row r="67" spans="1:7" ht="15.75" customHeight="1">
      <c r="A67" s="46" t="s">
        <v>219</v>
      </c>
      <c r="B67" s="47" t="s">
        <v>220</v>
      </c>
      <c r="C67" s="37">
        <v>15.635999999999999</v>
      </c>
      <c r="D67" s="37">
        <v>15.635999999999999</v>
      </c>
      <c r="E67" s="34">
        <f t="shared" si="3"/>
        <v>100</v>
      </c>
      <c r="F67" s="34">
        <f t="shared" si="4"/>
        <v>0</v>
      </c>
    </row>
    <row r="68" spans="1:7" s="6" customFormat="1">
      <c r="A68" s="30" t="s">
        <v>58</v>
      </c>
      <c r="B68" s="31" t="s">
        <v>59</v>
      </c>
      <c r="C68" s="48">
        <f>SUM(C69:C72)</f>
        <v>2265.9008699999999</v>
      </c>
      <c r="D68" s="48">
        <f>SUM(D69:D72)</f>
        <v>2247.0132400000002</v>
      </c>
      <c r="E68" s="34">
        <f t="shared" si="3"/>
        <v>99.166440586608729</v>
      </c>
      <c r="F68" s="34">
        <f t="shared" si="4"/>
        <v>-18.887629999999717</v>
      </c>
    </row>
    <row r="69" spans="1:7" ht="15" customHeight="1">
      <c r="A69" s="35" t="s">
        <v>60</v>
      </c>
      <c r="B69" s="39" t="s">
        <v>61</v>
      </c>
      <c r="C69" s="49">
        <v>11.25</v>
      </c>
      <c r="D69" s="37">
        <v>11.25</v>
      </c>
      <c r="E69" s="38">
        <f t="shared" si="3"/>
        <v>100</v>
      </c>
      <c r="F69" s="38">
        <f t="shared" si="4"/>
        <v>0</v>
      </c>
    </row>
    <row r="70" spans="1:7" s="6" customFormat="1" ht="18" customHeight="1">
      <c r="A70" s="35" t="s">
        <v>62</v>
      </c>
      <c r="B70" s="39" t="s">
        <v>63</v>
      </c>
      <c r="C70" s="49">
        <v>202.84851</v>
      </c>
      <c r="D70" s="37">
        <v>202.84792999999999</v>
      </c>
      <c r="E70" s="38">
        <f t="shared" si="3"/>
        <v>99.999714072339003</v>
      </c>
      <c r="F70" s="38">
        <f t="shared" si="4"/>
        <v>-5.8000000001356966E-4</v>
      </c>
      <c r="G70" s="50"/>
    </row>
    <row r="71" spans="1:7">
      <c r="A71" s="35" t="s">
        <v>64</v>
      </c>
      <c r="B71" s="39" t="s">
        <v>65</v>
      </c>
      <c r="C71" s="49">
        <v>1972.7388699999999</v>
      </c>
      <c r="D71" s="37">
        <v>1953.8518200000001</v>
      </c>
      <c r="E71" s="38">
        <f t="shared" si="3"/>
        <v>99.042597563863083</v>
      </c>
      <c r="F71" s="38">
        <f t="shared" si="4"/>
        <v>-18.887049999999817</v>
      </c>
    </row>
    <row r="72" spans="1:7">
      <c r="A72" s="35" t="s">
        <v>66</v>
      </c>
      <c r="B72" s="39" t="s">
        <v>67</v>
      </c>
      <c r="C72" s="49">
        <v>79.063490000000002</v>
      </c>
      <c r="D72" s="37">
        <v>79.063490000000002</v>
      </c>
      <c r="E72" s="38">
        <f t="shared" si="3"/>
        <v>100</v>
      </c>
      <c r="F72" s="38">
        <f t="shared" si="4"/>
        <v>0</v>
      </c>
    </row>
    <row r="73" spans="1:7" s="6" customFormat="1" ht="16.5" customHeight="1">
      <c r="A73" s="30" t="s">
        <v>68</v>
      </c>
      <c r="B73" s="31" t="s">
        <v>69</v>
      </c>
      <c r="C73" s="32">
        <f>SUM(C74:C76)</f>
        <v>491.68862000000001</v>
      </c>
      <c r="D73" s="32">
        <f>SUM(D75:D76)</f>
        <v>400.70115999999996</v>
      </c>
      <c r="E73" s="34">
        <f t="shared" si="3"/>
        <v>81.494902200502423</v>
      </c>
      <c r="F73" s="34">
        <f t="shared" si="4"/>
        <v>-90.987460000000056</v>
      </c>
    </row>
    <row r="74" spans="1:7" hidden="1">
      <c r="A74" s="35" t="s">
        <v>70</v>
      </c>
      <c r="B74" s="51" t="s">
        <v>71</v>
      </c>
      <c r="C74" s="37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ht="17.25" hidden="1" customHeight="1">
      <c r="A75" s="35" t="s">
        <v>72</v>
      </c>
      <c r="B75" s="51" t="s">
        <v>73</v>
      </c>
      <c r="C75" s="37">
        <v>198</v>
      </c>
      <c r="D75" s="37">
        <v>198</v>
      </c>
      <c r="E75" s="38">
        <f t="shared" si="3"/>
        <v>100</v>
      </c>
      <c r="F75" s="38">
        <f t="shared" si="4"/>
        <v>0</v>
      </c>
    </row>
    <row r="76" spans="1:7">
      <c r="A76" s="35" t="s">
        <v>74</v>
      </c>
      <c r="B76" s="39" t="s">
        <v>75</v>
      </c>
      <c r="C76" s="37">
        <v>293.68862000000001</v>
      </c>
      <c r="D76" s="37">
        <v>202.70115999999999</v>
      </c>
      <c r="E76" s="38">
        <f>SUM(D76/C76*100)</f>
        <v>69.019071968127321</v>
      </c>
      <c r="F76" s="38">
        <f t="shared" si="4"/>
        <v>-90.987460000000027</v>
      </c>
    </row>
    <row r="77" spans="1:7" s="6" customFormat="1">
      <c r="A77" s="30" t="s">
        <v>86</v>
      </c>
      <c r="B77" s="31" t="s">
        <v>87</v>
      </c>
      <c r="C77" s="32">
        <f>C78</f>
        <v>5343.8620000000001</v>
      </c>
      <c r="D77" s="32">
        <f>SUM(D78)</f>
        <v>5343.8620000000001</v>
      </c>
      <c r="E77" s="34">
        <f t="shared" si="3"/>
        <v>100</v>
      </c>
      <c r="F77" s="34">
        <f t="shared" si="4"/>
        <v>0</v>
      </c>
    </row>
    <row r="78" spans="1:7" ht="17.25" customHeight="1">
      <c r="A78" s="35" t="s">
        <v>88</v>
      </c>
      <c r="B78" s="39" t="s">
        <v>234</v>
      </c>
      <c r="C78" s="37">
        <v>5343.8620000000001</v>
      </c>
      <c r="D78" s="37">
        <v>5343.8620000000001</v>
      </c>
      <c r="E78" s="38">
        <f t="shared" si="3"/>
        <v>100</v>
      </c>
      <c r="F78" s="38">
        <f t="shared" si="4"/>
        <v>0</v>
      </c>
    </row>
    <row r="79" spans="1:7" s="6" customFormat="1" ht="35.25" hidden="1" customHeight="1">
      <c r="A79" s="52">
        <v>1000</v>
      </c>
      <c r="B79" s="31" t="s">
        <v>89</v>
      </c>
      <c r="C79" s="32">
        <f>SUM(C80:C83)</f>
        <v>0</v>
      </c>
      <c r="D79" s="32">
        <f>SUM(D80:D83)</f>
        <v>0</v>
      </c>
      <c r="E79" s="34" t="e">
        <f t="shared" si="3"/>
        <v>#DIV/0!</v>
      </c>
      <c r="F79" s="34">
        <f t="shared" si="4"/>
        <v>0</v>
      </c>
    </row>
    <row r="80" spans="1:7" ht="24.75" hidden="1" customHeight="1">
      <c r="A80" s="53">
        <v>1001</v>
      </c>
      <c r="B80" s="54" t="s">
        <v>90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 ht="18.75" hidden="1" customHeight="1">
      <c r="A81" s="53">
        <v>1003</v>
      </c>
      <c r="B81" s="54" t="s">
        <v>91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ht="18.75" hidden="1" customHeight="1">
      <c r="A82" s="53">
        <v>1004</v>
      </c>
      <c r="B82" s="54" t="s">
        <v>92</v>
      </c>
      <c r="C82" s="37"/>
      <c r="D82" s="55"/>
      <c r="E82" s="38" t="e">
        <f t="shared" si="3"/>
        <v>#DIV/0!</v>
      </c>
      <c r="F82" s="38">
        <f t="shared" si="4"/>
        <v>0</v>
      </c>
    </row>
    <row r="83" spans="1:6" ht="21" hidden="1" customHeight="1">
      <c r="A83" s="35" t="s">
        <v>93</v>
      </c>
      <c r="B83" s="39" t="s">
        <v>94</v>
      </c>
      <c r="C83" s="37">
        <v>0</v>
      </c>
      <c r="D83" s="37">
        <v>0</v>
      </c>
      <c r="E83" s="38"/>
      <c r="F83" s="38">
        <f t="shared" si="4"/>
        <v>0</v>
      </c>
    </row>
    <row r="84" spans="1:6" ht="17.25" hidden="1" customHeight="1">
      <c r="A84" s="30" t="s">
        <v>95</v>
      </c>
      <c r="B84" s="31" t="s">
        <v>96</v>
      </c>
      <c r="C84" s="32">
        <f>C85+C86+C87+C88+C89</f>
        <v>2.0150000000000001</v>
      </c>
      <c r="D84" s="32">
        <f>D85+D86+D87+D88+D89</f>
        <v>2.0150000000000001</v>
      </c>
      <c r="E84" s="38">
        <f t="shared" si="3"/>
        <v>100</v>
      </c>
      <c r="F84" s="22">
        <f>F85+F86+F87+F88+F89</f>
        <v>0</v>
      </c>
    </row>
    <row r="85" spans="1:6" ht="15" customHeight="1">
      <c r="A85" s="35" t="s">
        <v>97</v>
      </c>
      <c r="B85" s="39" t="s">
        <v>98</v>
      </c>
      <c r="C85" s="346">
        <v>2.0150000000000001</v>
      </c>
      <c r="D85" s="346">
        <v>2.0150000000000001</v>
      </c>
      <c r="E85" s="38">
        <f t="shared" si="3"/>
        <v>100</v>
      </c>
      <c r="F85" s="38">
        <f>SUM(D85-C85)</f>
        <v>0</v>
      </c>
    </row>
    <row r="86" spans="1:6" ht="15.75" hidden="1" customHeight="1">
      <c r="A86" s="35" t="s">
        <v>99</v>
      </c>
      <c r="B86" s="39" t="s">
        <v>100</v>
      </c>
      <c r="C86" s="346"/>
      <c r="D86" s="346"/>
      <c r="E86" s="38" t="e">
        <f t="shared" si="3"/>
        <v>#DIV/0!</v>
      </c>
      <c r="F86" s="38">
        <f>SUM(D86-C86)</f>
        <v>0</v>
      </c>
    </row>
    <row r="87" spans="1:6" ht="15.75" hidden="1" customHeight="1">
      <c r="A87" s="35" t="s">
        <v>101</v>
      </c>
      <c r="B87" s="39" t="s">
        <v>102</v>
      </c>
      <c r="C87" s="346"/>
      <c r="D87" s="346"/>
      <c r="E87" s="38" t="e">
        <f t="shared" si="3"/>
        <v>#DIV/0!</v>
      </c>
      <c r="F87" s="38"/>
    </row>
    <row r="88" spans="1:6" ht="15.75" hidden="1" customHeight="1">
      <c r="A88" s="35" t="s">
        <v>103</v>
      </c>
      <c r="B88" s="39" t="s">
        <v>104</v>
      </c>
      <c r="C88" s="346"/>
      <c r="D88" s="346"/>
      <c r="E88" s="38" t="e">
        <f t="shared" si="3"/>
        <v>#DIV/0!</v>
      </c>
      <c r="F88" s="38"/>
    </row>
    <row r="89" spans="1:6" ht="15.75" hidden="1" customHeight="1">
      <c r="A89" s="35" t="s">
        <v>105</v>
      </c>
      <c r="B89" s="39" t="s">
        <v>106</v>
      </c>
      <c r="C89" s="346"/>
      <c r="D89" s="346"/>
      <c r="E89" s="38" t="e">
        <f t="shared" si="3"/>
        <v>#DIV/0!</v>
      </c>
      <c r="F89" s="38"/>
    </row>
    <row r="90" spans="1:6" s="6" customFormat="1" ht="15.75" hidden="1" customHeight="1">
      <c r="A90" s="52">
        <v>1400</v>
      </c>
      <c r="B90" s="56" t="s">
        <v>115</v>
      </c>
      <c r="C90" s="347">
        <f>C91+C92+C93</f>
        <v>0</v>
      </c>
      <c r="D90" s="347">
        <f>SUM(D91:D93)</f>
        <v>0</v>
      </c>
      <c r="E90" s="34" t="e">
        <f t="shared" si="3"/>
        <v>#DIV/0!</v>
      </c>
      <c r="F90" s="34">
        <f t="shared" si="4"/>
        <v>0</v>
      </c>
    </row>
    <row r="91" spans="1:6" ht="15.75" hidden="1" customHeight="1">
      <c r="A91" s="53">
        <v>1401</v>
      </c>
      <c r="B91" s="54" t="s">
        <v>116</v>
      </c>
      <c r="C91" s="348"/>
      <c r="D91" s="346"/>
      <c r="E91" s="38" t="e">
        <f t="shared" si="3"/>
        <v>#DIV/0!</v>
      </c>
      <c r="F91" s="38">
        <f t="shared" si="4"/>
        <v>0</v>
      </c>
    </row>
    <row r="92" spans="1:6" ht="15.75" hidden="1" customHeight="1">
      <c r="A92" s="53">
        <v>1402</v>
      </c>
      <c r="B92" s="54" t="s">
        <v>117</v>
      </c>
      <c r="C92" s="348"/>
      <c r="D92" s="346"/>
      <c r="E92" s="38" t="e">
        <f t="shared" si="3"/>
        <v>#DIV/0!</v>
      </c>
      <c r="F92" s="38">
        <f t="shared" si="4"/>
        <v>0</v>
      </c>
    </row>
    <row r="93" spans="1:6" ht="57.75" hidden="1" customHeight="1">
      <c r="A93" s="53">
        <v>1403</v>
      </c>
      <c r="B93" s="54" t="s">
        <v>118</v>
      </c>
      <c r="C93" s="349">
        <v>0</v>
      </c>
      <c r="D93" s="350">
        <v>0</v>
      </c>
      <c r="E93" s="38" t="e">
        <f t="shared" si="3"/>
        <v>#DIV/0!</v>
      </c>
      <c r="F93" s="38">
        <f t="shared" si="4"/>
        <v>0</v>
      </c>
    </row>
    <row r="94" spans="1:6" s="6" customFormat="1" ht="15.75" customHeight="1">
      <c r="A94" s="52"/>
      <c r="B94" s="57" t="s">
        <v>119</v>
      </c>
      <c r="C94" s="372">
        <f>C53+C61+C63+C68+C73+C77+C79+C84+C90</f>
        <v>9537.8368699999992</v>
      </c>
      <c r="D94" s="372">
        <f>D53+D61+D63+D68+D73+D77+D79+D84+D90</f>
        <v>9417.7664599999989</v>
      </c>
      <c r="E94" s="34">
        <f t="shared" si="3"/>
        <v>98.741114870839681</v>
      </c>
      <c r="F94" s="34">
        <f t="shared" si="4"/>
        <v>-120.07041000000027</v>
      </c>
    </row>
    <row r="95" spans="1:6" ht="16.5" customHeight="1">
      <c r="C95" s="126"/>
      <c r="D95" s="101"/>
    </row>
    <row r="96" spans="1:6" s="113" customFormat="1" ht="20.25" customHeight="1">
      <c r="A96" s="111" t="s">
        <v>120</v>
      </c>
      <c r="B96" s="111"/>
      <c r="C96" s="129"/>
      <c r="D96" s="112"/>
    </row>
    <row r="97" spans="1:3" s="113" customFormat="1" ht="13.5" customHeight="1">
      <c r="A97" s="114" t="s">
        <v>121</v>
      </c>
      <c r="B97" s="114"/>
      <c r="C97" s="118" t="s">
        <v>122</v>
      </c>
    </row>
    <row r="99" spans="1:3" ht="5.25" customHeight="1"/>
  </sheetData>
  <customSheetViews>
    <customSheetView guid="{487FB2A4-0730-401E-81DB-8304F8599D85}" hiddenRows="1" topLeftCell="A6">
      <selection activeCell="D28" sqref="D28"/>
      <pageMargins left="0.7" right="0.7" top="0.75" bottom="0.75" header="0.3" footer="0.3"/>
      <pageSetup paperSize="9" scale="62" orientation="portrait" r:id="rId1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2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3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4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B30CE22D-C12F-4E12-8BB9-3AAE0A6991CC}" scale="70" showPageBreaks="1" hiddenRows="1" view="pageBreakPreview" topLeftCell="A8">
      <selection activeCell="C75" sqref="C75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hiddenRows="1" topLeftCell="A6">
      <selection activeCell="D28" sqref="D28"/>
      <pageMargins left="0.7" right="0.7" top="0.75" bottom="0.75" header="0.3" footer="0.3"/>
      <pageSetup paperSize="9" scale="62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2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6"/>
  <sheetViews>
    <sheetView view="pageBreakPreview" topLeftCell="A10" zoomScale="75" zoomScaleSheetLayoutView="75" workbookViewId="0">
      <pane xSplit="2" ySplit="4" topLeftCell="C14" activePane="bottomRight" state="frozen"/>
      <selection activeCell="A10" sqref="A10"/>
      <selection pane="topRight" activeCell="C10" sqref="C10"/>
      <selection pane="bottomLeft" activeCell="A14" sqref="A14"/>
      <selection pane="bottomRight" activeCell="C28" sqref="C28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2851562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5.28515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5.71093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3" style="153" bestFit="1" customWidth="1"/>
    <col min="21" max="21" width="14" style="153" bestFit="1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0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17.28515625" style="153" customWidth="1"/>
    <col min="67" max="67" width="13.28515625" style="153" customWidth="1"/>
    <col min="68" max="68" width="10.7109375" style="153" customWidth="1"/>
    <col min="69" max="69" width="15.28515625" style="153" customWidth="1"/>
    <col min="70" max="70" width="15" style="153" customWidth="1"/>
    <col min="71" max="71" width="10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0" style="153" customWidth="1"/>
    <col min="84" max="84" width="14.140625" style="153" customWidth="1"/>
    <col min="85" max="85" width="15.28515625" style="153" customWidth="1"/>
    <col min="86" max="86" width="12.28515625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21.285156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1.57031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4" style="153" bestFit="1" customWidth="1"/>
    <col min="134" max="134" width="10.140625" style="153" customWidth="1"/>
    <col min="135" max="135" width="15.42578125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497" t="s">
        <v>137</v>
      </c>
      <c r="Y1" s="497"/>
      <c r="Z1" s="497"/>
      <c r="AA1" s="156"/>
      <c r="AB1" s="156"/>
      <c r="AC1" s="156"/>
      <c r="AD1" s="492"/>
      <c r="AE1" s="492"/>
      <c r="AF1" s="492"/>
      <c r="AG1" s="157"/>
      <c r="AH1" s="157"/>
      <c r="AI1" s="157"/>
      <c r="AJ1" s="157"/>
      <c r="AK1" s="157"/>
      <c r="AL1" s="157"/>
    </row>
    <row r="2" spans="1:159" ht="19.5" customHeight="1">
      <c r="X2" s="157" t="s">
        <v>138</v>
      </c>
      <c r="Y2" s="157"/>
      <c r="Z2" s="157"/>
      <c r="AA2" s="155"/>
      <c r="AB2" s="155"/>
      <c r="AC2" s="155"/>
      <c r="AD2" s="492"/>
      <c r="AE2" s="492"/>
      <c r="AF2" s="492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158"/>
      <c r="C3" s="158"/>
      <c r="D3" s="159"/>
      <c r="E3" s="158"/>
      <c r="F3" s="158"/>
      <c r="G3" s="158"/>
      <c r="H3" s="158"/>
      <c r="I3" s="158"/>
      <c r="X3" s="496" t="s">
        <v>139</v>
      </c>
      <c r="Y3" s="496"/>
      <c r="Z3" s="496"/>
      <c r="AA3" s="158"/>
      <c r="AB3" s="158"/>
      <c r="AC3" s="158"/>
      <c r="AD3" s="496"/>
      <c r="AE3" s="496"/>
      <c r="AF3" s="496"/>
      <c r="AG3" s="160"/>
      <c r="AH3" s="160"/>
      <c r="AI3" s="160"/>
      <c r="AJ3" s="160"/>
      <c r="AK3" s="160"/>
      <c r="AL3" s="160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500" t="s">
        <v>140</v>
      </c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161"/>
      <c r="AB4" s="161"/>
      <c r="AC4" s="161"/>
      <c r="AD4" s="161"/>
      <c r="AE4" s="161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498" t="s">
        <v>411</v>
      </c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8"/>
      <c r="AA5" s="162"/>
      <c r="AB5" s="162"/>
      <c r="AC5" s="162"/>
      <c r="AD5" s="162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158"/>
      <c r="C6" s="163"/>
      <c r="D6" s="164"/>
      <c r="E6" s="158"/>
      <c r="F6" s="158"/>
      <c r="I6" s="499"/>
      <c r="J6" s="499"/>
      <c r="K6" s="499"/>
      <c r="L6" s="499"/>
      <c r="M6" s="499"/>
      <c r="N6" s="499"/>
      <c r="O6" s="499"/>
      <c r="P6" s="499"/>
      <c r="Q6" s="499"/>
      <c r="R6" s="499"/>
      <c r="S6" s="499"/>
      <c r="T6" s="499"/>
      <c r="U6" s="499"/>
      <c r="V6" s="499"/>
      <c r="W6" s="499"/>
      <c r="X6" s="499"/>
      <c r="Y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9" customFormat="1" ht="15" customHeight="1">
      <c r="A7" s="491" t="s">
        <v>141</v>
      </c>
      <c r="B7" s="491" t="s">
        <v>142</v>
      </c>
      <c r="C7" s="482" t="s">
        <v>143</v>
      </c>
      <c r="D7" s="483"/>
      <c r="E7" s="484"/>
      <c r="F7" s="166" t="s">
        <v>144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8"/>
      <c r="DD7" s="167"/>
      <c r="DE7" s="167"/>
      <c r="DF7" s="168"/>
      <c r="DG7" s="482" t="s">
        <v>145</v>
      </c>
      <c r="DH7" s="483"/>
      <c r="DI7" s="484"/>
      <c r="DJ7" s="482"/>
      <c r="DK7" s="483"/>
      <c r="DL7" s="483"/>
      <c r="DM7" s="483"/>
      <c r="DN7" s="483"/>
      <c r="DO7" s="483"/>
      <c r="DP7" s="483"/>
      <c r="DQ7" s="483"/>
      <c r="DR7" s="483"/>
      <c r="DS7" s="483"/>
      <c r="DT7" s="483"/>
      <c r="DU7" s="483"/>
      <c r="DV7" s="483"/>
      <c r="DW7" s="483"/>
      <c r="DX7" s="483"/>
      <c r="DY7" s="483"/>
      <c r="DZ7" s="483"/>
      <c r="EA7" s="483"/>
      <c r="EB7" s="483"/>
      <c r="EC7" s="483"/>
      <c r="ED7" s="483"/>
      <c r="EE7" s="483"/>
      <c r="EF7" s="483"/>
      <c r="EG7" s="483"/>
      <c r="EH7" s="483"/>
      <c r="EI7" s="483"/>
      <c r="EJ7" s="483"/>
      <c r="EK7" s="483"/>
      <c r="EL7" s="483"/>
      <c r="EM7" s="483"/>
      <c r="EN7" s="483"/>
      <c r="EO7" s="483"/>
      <c r="EP7" s="483"/>
      <c r="EQ7" s="483"/>
      <c r="ER7" s="483"/>
      <c r="ES7" s="483"/>
      <c r="ET7" s="483"/>
      <c r="EU7" s="483"/>
      <c r="EV7" s="484"/>
      <c r="EW7" s="482" t="s">
        <v>146</v>
      </c>
      <c r="EX7" s="483"/>
      <c r="EY7" s="484"/>
    </row>
    <row r="8" spans="1:159" s="169" customFormat="1" ht="15" customHeight="1">
      <c r="A8" s="491"/>
      <c r="B8" s="491"/>
      <c r="C8" s="485"/>
      <c r="D8" s="486"/>
      <c r="E8" s="487"/>
      <c r="F8" s="485" t="s">
        <v>147</v>
      </c>
      <c r="G8" s="486"/>
      <c r="H8" s="487"/>
      <c r="I8" s="493" t="s">
        <v>148</v>
      </c>
      <c r="J8" s="494"/>
      <c r="K8" s="494"/>
      <c r="L8" s="494"/>
      <c r="M8" s="494"/>
      <c r="N8" s="494"/>
      <c r="O8" s="494"/>
      <c r="P8" s="494"/>
      <c r="Q8" s="494"/>
      <c r="R8" s="494"/>
      <c r="S8" s="494"/>
      <c r="T8" s="494"/>
      <c r="U8" s="494"/>
      <c r="V8" s="494"/>
      <c r="W8" s="494"/>
      <c r="X8" s="494"/>
      <c r="Y8" s="494"/>
      <c r="Z8" s="494"/>
      <c r="AA8" s="494"/>
      <c r="AB8" s="494"/>
      <c r="AC8" s="494"/>
      <c r="AD8" s="494"/>
      <c r="AE8" s="494"/>
      <c r="AF8" s="494"/>
      <c r="AG8" s="494"/>
      <c r="AH8" s="494"/>
      <c r="AI8" s="494"/>
      <c r="AJ8" s="494"/>
      <c r="AK8" s="494"/>
      <c r="AL8" s="494"/>
      <c r="AM8" s="494"/>
      <c r="AN8" s="494"/>
      <c r="AO8" s="494"/>
      <c r="AP8" s="494"/>
      <c r="AQ8" s="494"/>
      <c r="AR8" s="494"/>
      <c r="AS8" s="494"/>
      <c r="AT8" s="494"/>
      <c r="AU8" s="494"/>
      <c r="AV8" s="494"/>
      <c r="AW8" s="494"/>
      <c r="AX8" s="495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1"/>
      <c r="BT8" s="173"/>
      <c r="BU8" s="173"/>
      <c r="BV8" s="173"/>
      <c r="BW8" s="174"/>
      <c r="BX8" s="174"/>
      <c r="BY8" s="174"/>
      <c r="BZ8" s="491" t="s">
        <v>149</v>
      </c>
      <c r="CA8" s="491"/>
      <c r="CB8" s="491"/>
      <c r="CC8" s="488" t="s">
        <v>148</v>
      </c>
      <c r="CD8" s="489"/>
      <c r="CE8" s="489"/>
      <c r="CF8" s="489"/>
      <c r="CG8" s="489"/>
      <c r="CH8" s="489"/>
      <c r="CI8" s="489"/>
      <c r="CJ8" s="489"/>
      <c r="CK8" s="489"/>
      <c r="CL8" s="489"/>
      <c r="CM8" s="489"/>
      <c r="CN8" s="489"/>
      <c r="CO8" s="170"/>
      <c r="CP8" s="170"/>
      <c r="CQ8" s="170"/>
      <c r="CR8" s="170"/>
      <c r="CS8" s="170"/>
      <c r="CT8" s="170"/>
      <c r="CU8" s="175"/>
      <c r="CV8" s="175"/>
      <c r="CW8" s="176"/>
      <c r="CX8" s="485" t="s">
        <v>150</v>
      </c>
      <c r="CY8" s="486"/>
      <c r="CZ8" s="487"/>
      <c r="DA8" s="479"/>
      <c r="DB8" s="480"/>
      <c r="DC8" s="481"/>
      <c r="DD8" s="479"/>
      <c r="DE8" s="480"/>
      <c r="DF8" s="481"/>
      <c r="DG8" s="485"/>
      <c r="DH8" s="486"/>
      <c r="DI8" s="487"/>
      <c r="DJ8" s="485" t="s">
        <v>148</v>
      </c>
      <c r="DK8" s="486"/>
      <c r="DL8" s="486"/>
      <c r="DM8" s="486"/>
      <c r="DN8" s="486"/>
      <c r="DO8" s="486"/>
      <c r="DP8" s="486"/>
      <c r="DQ8" s="486"/>
      <c r="DR8" s="486"/>
      <c r="DS8" s="486"/>
      <c r="DT8" s="486"/>
      <c r="DU8" s="486"/>
      <c r="DV8" s="486"/>
      <c r="DW8" s="486"/>
      <c r="DX8" s="486"/>
      <c r="DY8" s="486"/>
      <c r="DZ8" s="486"/>
      <c r="EA8" s="486"/>
      <c r="EB8" s="486"/>
      <c r="EC8" s="486"/>
      <c r="ED8" s="486"/>
      <c r="EE8" s="486"/>
      <c r="EF8" s="486"/>
      <c r="EG8" s="486"/>
      <c r="EH8" s="486"/>
      <c r="EI8" s="486"/>
      <c r="EJ8" s="486"/>
      <c r="EK8" s="486"/>
      <c r="EL8" s="486"/>
      <c r="EM8" s="486"/>
      <c r="EN8" s="486"/>
      <c r="EO8" s="486"/>
      <c r="EP8" s="486"/>
      <c r="EQ8" s="486"/>
      <c r="ER8" s="486"/>
      <c r="ES8" s="486"/>
      <c r="ET8" s="486"/>
      <c r="EU8" s="486"/>
      <c r="EV8" s="487"/>
      <c r="EW8" s="485"/>
      <c r="EX8" s="486"/>
      <c r="EY8" s="487"/>
    </row>
    <row r="9" spans="1:159" s="169" customFormat="1" ht="15" customHeight="1">
      <c r="A9" s="491"/>
      <c r="B9" s="491"/>
      <c r="C9" s="485"/>
      <c r="D9" s="486"/>
      <c r="E9" s="487"/>
      <c r="F9" s="485"/>
      <c r="G9" s="486"/>
      <c r="H9" s="487"/>
      <c r="I9" s="482" t="s">
        <v>151</v>
      </c>
      <c r="J9" s="483"/>
      <c r="K9" s="484"/>
      <c r="L9" s="482" t="s">
        <v>293</v>
      </c>
      <c r="M9" s="483"/>
      <c r="N9" s="484"/>
      <c r="O9" s="482" t="s">
        <v>296</v>
      </c>
      <c r="P9" s="483"/>
      <c r="Q9" s="484"/>
      <c r="R9" s="482" t="s">
        <v>294</v>
      </c>
      <c r="S9" s="483"/>
      <c r="T9" s="484"/>
      <c r="U9" s="482" t="s">
        <v>295</v>
      </c>
      <c r="V9" s="483"/>
      <c r="W9" s="484"/>
      <c r="X9" s="482" t="s">
        <v>152</v>
      </c>
      <c r="Y9" s="483"/>
      <c r="Z9" s="484"/>
      <c r="AA9" s="482" t="s">
        <v>153</v>
      </c>
      <c r="AB9" s="483"/>
      <c r="AC9" s="484"/>
      <c r="AD9" s="482" t="s">
        <v>154</v>
      </c>
      <c r="AE9" s="483"/>
      <c r="AF9" s="484"/>
      <c r="AG9" s="491" t="s">
        <v>155</v>
      </c>
      <c r="AH9" s="491"/>
      <c r="AI9" s="491"/>
      <c r="AJ9" s="482" t="s">
        <v>255</v>
      </c>
      <c r="AK9" s="483"/>
      <c r="AL9" s="484"/>
      <c r="AM9" s="482" t="s">
        <v>156</v>
      </c>
      <c r="AN9" s="483"/>
      <c r="AO9" s="484"/>
      <c r="AP9" s="482" t="s">
        <v>348</v>
      </c>
      <c r="AQ9" s="483"/>
      <c r="AR9" s="484"/>
      <c r="AS9" s="482" t="s">
        <v>157</v>
      </c>
      <c r="AT9" s="483"/>
      <c r="AU9" s="484"/>
      <c r="AV9" s="482" t="s">
        <v>158</v>
      </c>
      <c r="AW9" s="483"/>
      <c r="AX9" s="484"/>
      <c r="AY9" s="482" t="s">
        <v>257</v>
      </c>
      <c r="AZ9" s="483"/>
      <c r="BA9" s="484"/>
      <c r="BB9" s="482" t="s">
        <v>358</v>
      </c>
      <c r="BC9" s="483"/>
      <c r="BD9" s="484"/>
      <c r="BE9" s="482" t="s">
        <v>159</v>
      </c>
      <c r="BF9" s="483"/>
      <c r="BG9" s="484"/>
      <c r="BH9" s="482" t="s">
        <v>160</v>
      </c>
      <c r="BI9" s="483"/>
      <c r="BJ9" s="484"/>
      <c r="BK9" s="482" t="s">
        <v>286</v>
      </c>
      <c r="BL9" s="483"/>
      <c r="BM9" s="484"/>
      <c r="BN9" s="482" t="s">
        <v>253</v>
      </c>
      <c r="BO9" s="483"/>
      <c r="BP9" s="484"/>
      <c r="BQ9" s="482" t="s">
        <v>161</v>
      </c>
      <c r="BR9" s="483"/>
      <c r="BS9" s="484"/>
      <c r="BT9" s="482" t="s">
        <v>162</v>
      </c>
      <c r="BU9" s="483"/>
      <c r="BV9" s="484"/>
      <c r="BW9" s="485" t="s">
        <v>163</v>
      </c>
      <c r="BX9" s="486"/>
      <c r="BY9" s="486"/>
      <c r="BZ9" s="491"/>
      <c r="CA9" s="491"/>
      <c r="CB9" s="491"/>
      <c r="CC9" s="482" t="s">
        <v>349</v>
      </c>
      <c r="CD9" s="483"/>
      <c r="CE9" s="484"/>
      <c r="CF9" s="482" t="s">
        <v>350</v>
      </c>
      <c r="CG9" s="483"/>
      <c r="CH9" s="484"/>
      <c r="CI9" s="482" t="s">
        <v>164</v>
      </c>
      <c r="CJ9" s="483"/>
      <c r="CK9" s="484"/>
      <c r="CL9" s="482" t="s">
        <v>165</v>
      </c>
      <c r="CM9" s="483"/>
      <c r="CN9" s="484"/>
      <c r="CO9" s="482" t="s">
        <v>24</v>
      </c>
      <c r="CP9" s="483"/>
      <c r="CQ9" s="484"/>
      <c r="CR9" s="482" t="s">
        <v>303</v>
      </c>
      <c r="CS9" s="483"/>
      <c r="CT9" s="484"/>
      <c r="CU9" s="482" t="s">
        <v>351</v>
      </c>
      <c r="CV9" s="483"/>
      <c r="CW9" s="484"/>
      <c r="CX9" s="485"/>
      <c r="CY9" s="486"/>
      <c r="CZ9" s="487"/>
      <c r="DA9" s="482" t="s">
        <v>271</v>
      </c>
      <c r="DB9" s="483"/>
      <c r="DC9" s="484"/>
      <c r="DD9" s="491" t="s">
        <v>166</v>
      </c>
      <c r="DE9" s="491"/>
      <c r="DF9" s="491"/>
      <c r="DG9" s="485"/>
      <c r="DH9" s="486"/>
      <c r="DI9" s="487"/>
      <c r="DJ9" s="510" t="s">
        <v>167</v>
      </c>
      <c r="DK9" s="511"/>
      <c r="DL9" s="512"/>
      <c r="DM9" s="504" t="s">
        <v>144</v>
      </c>
      <c r="DN9" s="505"/>
      <c r="DO9" s="505"/>
      <c r="DP9" s="505"/>
      <c r="DQ9" s="505"/>
      <c r="DR9" s="505"/>
      <c r="DS9" s="505"/>
      <c r="DT9" s="505"/>
      <c r="DU9" s="505"/>
      <c r="DV9" s="505"/>
      <c r="DW9" s="505"/>
      <c r="DX9" s="506"/>
      <c r="DY9" s="510" t="s">
        <v>168</v>
      </c>
      <c r="DZ9" s="511"/>
      <c r="EA9" s="512"/>
      <c r="EB9" s="510" t="s">
        <v>169</v>
      </c>
      <c r="EC9" s="511"/>
      <c r="ED9" s="512"/>
      <c r="EE9" s="510" t="s">
        <v>170</v>
      </c>
      <c r="EF9" s="511"/>
      <c r="EG9" s="512"/>
      <c r="EH9" s="510" t="s">
        <v>171</v>
      </c>
      <c r="EI9" s="511"/>
      <c r="EJ9" s="512"/>
      <c r="EK9" s="482" t="s">
        <v>297</v>
      </c>
      <c r="EL9" s="483"/>
      <c r="EM9" s="484"/>
      <c r="EN9" s="482" t="s">
        <v>172</v>
      </c>
      <c r="EO9" s="483"/>
      <c r="EP9" s="484"/>
      <c r="EQ9" s="482" t="s">
        <v>329</v>
      </c>
      <c r="ER9" s="483"/>
      <c r="ES9" s="484"/>
      <c r="ET9" s="491" t="s">
        <v>299</v>
      </c>
      <c r="EU9" s="491"/>
      <c r="EV9" s="491"/>
      <c r="EW9" s="485"/>
      <c r="EX9" s="486"/>
      <c r="EY9" s="487"/>
    </row>
    <row r="10" spans="1:159" s="169" customFormat="1" ht="38.25" customHeight="1">
      <c r="A10" s="491"/>
      <c r="B10" s="491"/>
      <c r="C10" s="485"/>
      <c r="D10" s="486"/>
      <c r="E10" s="487"/>
      <c r="F10" s="485"/>
      <c r="G10" s="486"/>
      <c r="H10" s="487"/>
      <c r="I10" s="485"/>
      <c r="J10" s="486"/>
      <c r="K10" s="487"/>
      <c r="L10" s="485"/>
      <c r="M10" s="486"/>
      <c r="N10" s="487"/>
      <c r="O10" s="485"/>
      <c r="P10" s="486"/>
      <c r="Q10" s="487"/>
      <c r="R10" s="485"/>
      <c r="S10" s="486"/>
      <c r="T10" s="487"/>
      <c r="U10" s="485"/>
      <c r="V10" s="486"/>
      <c r="W10" s="487"/>
      <c r="X10" s="485"/>
      <c r="Y10" s="486"/>
      <c r="Z10" s="487"/>
      <c r="AA10" s="485"/>
      <c r="AB10" s="486"/>
      <c r="AC10" s="487"/>
      <c r="AD10" s="485"/>
      <c r="AE10" s="486"/>
      <c r="AF10" s="487"/>
      <c r="AG10" s="491"/>
      <c r="AH10" s="491"/>
      <c r="AI10" s="491"/>
      <c r="AJ10" s="485"/>
      <c r="AK10" s="486"/>
      <c r="AL10" s="487"/>
      <c r="AM10" s="485"/>
      <c r="AN10" s="486"/>
      <c r="AO10" s="487"/>
      <c r="AP10" s="485"/>
      <c r="AQ10" s="486"/>
      <c r="AR10" s="487"/>
      <c r="AS10" s="485"/>
      <c r="AT10" s="486"/>
      <c r="AU10" s="487"/>
      <c r="AV10" s="485"/>
      <c r="AW10" s="486"/>
      <c r="AX10" s="487"/>
      <c r="AY10" s="485"/>
      <c r="AZ10" s="486"/>
      <c r="BA10" s="487"/>
      <c r="BB10" s="485"/>
      <c r="BC10" s="486"/>
      <c r="BD10" s="487"/>
      <c r="BE10" s="485"/>
      <c r="BF10" s="486"/>
      <c r="BG10" s="487"/>
      <c r="BH10" s="485"/>
      <c r="BI10" s="486"/>
      <c r="BJ10" s="487"/>
      <c r="BK10" s="485"/>
      <c r="BL10" s="486"/>
      <c r="BM10" s="487"/>
      <c r="BN10" s="485"/>
      <c r="BO10" s="486"/>
      <c r="BP10" s="487"/>
      <c r="BQ10" s="485"/>
      <c r="BR10" s="486"/>
      <c r="BS10" s="487"/>
      <c r="BT10" s="485"/>
      <c r="BU10" s="486"/>
      <c r="BV10" s="487"/>
      <c r="BW10" s="485"/>
      <c r="BX10" s="486"/>
      <c r="BY10" s="486"/>
      <c r="BZ10" s="491"/>
      <c r="CA10" s="491"/>
      <c r="CB10" s="491"/>
      <c r="CC10" s="485"/>
      <c r="CD10" s="486"/>
      <c r="CE10" s="487"/>
      <c r="CF10" s="485"/>
      <c r="CG10" s="486"/>
      <c r="CH10" s="487"/>
      <c r="CI10" s="485"/>
      <c r="CJ10" s="486"/>
      <c r="CK10" s="487"/>
      <c r="CL10" s="485"/>
      <c r="CM10" s="486"/>
      <c r="CN10" s="487"/>
      <c r="CO10" s="485"/>
      <c r="CP10" s="486"/>
      <c r="CQ10" s="487"/>
      <c r="CR10" s="485"/>
      <c r="CS10" s="486"/>
      <c r="CT10" s="487"/>
      <c r="CU10" s="485"/>
      <c r="CV10" s="486"/>
      <c r="CW10" s="487"/>
      <c r="CX10" s="485"/>
      <c r="CY10" s="486"/>
      <c r="CZ10" s="487"/>
      <c r="DA10" s="485"/>
      <c r="DB10" s="486"/>
      <c r="DC10" s="487"/>
      <c r="DD10" s="491"/>
      <c r="DE10" s="491"/>
      <c r="DF10" s="491"/>
      <c r="DG10" s="485"/>
      <c r="DH10" s="486"/>
      <c r="DI10" s="487"/>
      <c r="DJ10" s="513"/>
      <c r="DK10" s="514"/>
      <c r="DL10" s="515"/>
      <c r="DM10" s="317"/>
      <c r="DN10" s="318"/>
      <c r="DO10" s="318"/>
      <c r="DP10" s="320"/>
      <c r="DQ10" s="320"/>
      <c r="DR10" s="320"/>
      <c r="DS10" s="318"/>
      <c r="DT10" s="318"/>
      <c r="DU10" s="318"/>
      <c r="DV10" s="318"/>
      <c r="DW10" s="318"/>
      <c r="DX10" s="319"/>
      <c r="DY10" s="513"/>
      <c r="DZ10" s="514"/>
      <c r="EA10" s="515"/>
      <c r="EB10" s="513"/>
      <c r="EC10" s="514"/>
      <c r="ED10" s="515"/>
      <c r="EE10" s="513"/>
      <c r="EF10" s="514"/>
      <c r="EG10" s="515"/>
      <c r="EH10" s="513"/>
      <c r="EI10" s="514"/>
      <c r="EJ10" s="515"/>
      <c r="EK10" s="485"/>
      <c r="EL10" s="486"/>
      <c r="EM10" s="487"/>
      <c r="EN10" s="485"/>
      <c r="EO10" s="486"/>
      <c r="EP10" s="487"/>
      <c r="EQ10" s="485"/>
      <c r="ER10" s="486"/>
      <c r="ES10" s="487"/>
      <c r="ET10" s="491"/>
      <c r="EU10" s="491"/>
      <c r="EV10" s="491"/>
      <c r="EW10" s="485"/>
      <c r="EX10" s="486"/>
      <c r="EY10" s="487"/>
    </row>
    <row r="11" spans="1:159" s="169" customFormat="1" ht="177.75" customHeight="1">
      <c r="A11" s="491"/>
      <c r="B11" s="491"/>
      <c r="C11" s="488"/>
      <c r="D11" s="489"/>
      <c r="E11" s="501"/>
      <c r="F11" s="488"/>
      <c r="G11" s="489"/>
      <c r="H11" s="490"/>
      <c r="I11" s="488"/>
      <c r="J11" s="489"/>
      <c r="K11" s="490"/>
      <c r="L11" s="488"/>
      <c r="M11" s="489"/>
      <c r="N11" s="490"/>
      <c r="O11" s="488"/>
      <c r="P11" s="489"/>
      <c r="Q11" s="490"/>
      <c r="R11" s="488"/>
      <c r="S11" s="489"/>
      <c r="T11" s="490"/>
      <c r="U11" s="488"/>
      <c r="V11" s="489"/>
      <c r="W11" s="490"/>
      <c r="X11" s="488"/>
      <c r="Y11" s="489"/>
      <c r="Z11" s="490"/>
      <c r="AA11" s="488"/>
      <c r="AB11" s="489"/>
      <c r="AC11" s="490"/>
      <c r="AD11" s="488"/>
      <c r="AE11" s="489"/>
      <c r="AF11" s="490"/>
      <c r="AG11" s="491"/>
      <c r="AH11" s="491"/>
      <c r="AI11" s="491"/>
      <c r="AJ11" s="488"/>
      <c r="AK11" s="489"/>
      <c r="AL11" s="490"/>
      <c r="AM11" s="488"/>
      <c r="AN11" s="489"/>
      <c r="AO11" s="490"/>
      <c r="AP11" s="488"/>
      <c r="AQ11" s="489"/>
      <c r="AR11" s="490"/>
      <c r="AS11" s="488"/>
      <c r="AT11" s="489"/>
      <c r="AU11" s="490"/>
      <c r="AV11" s="488"/>
      <c r="AW11" s="489"/>
      <c r="AX11" s="490"/>
      <c r="AY11" s="488"/>
      <c r="AZ11" s="489"/>
      <c r="BA11" s="490"/>
      <c r="BB11" s="488"/>
      <c r="BC11" s="489"/>
      <c r="BD11" s="490"/>
      <c r="BE11" s="488"/>
      <c r="BF11" s="489"/>
      <c r="BG11" s="490"/>
      <c r="BH11" s="488"/>
      <c r="BI11" s="489"/>
      <c r="BJ11" s="490"/>
      <c r="BK11" s="488"/>
      <c r="BL11" s="489"/>
      <c r="BM11" s="490"/>
      <c r="BN11" s="488"/>
      <c r="BO11" s="489"/>
      <c r="BP11" s="490"/>
      <c r="BQ11" s="488"/>
      <c r="BR11" s="489"/>
      <c r="BS11" s="490"/>
      <c r="BT11" s="488"/>
      <c r="BU11" s="489"/>
      <c r="BV11" s="490"/>
      <c r="BW11" s="488"/>
      <c r="BX11" s="489"/>
      <c r="BY11" s="489"/>
      <c r="BZ11" s="491"/>
      <c r="CA11" s="491"/>
      <c r="CB11" s="491"/>
      <c r="CC11" s="488"/>
      <c r="CD11" s="489"/>
      <c r="CE11" s="490"/>
      <c r="CF11" s="488"/>
      <c r="CG11" s="489"/>
      <c r="CH11" s="490"/>
      <c r="CI11" s="488"/>
      <c r="CJ11" s="489"/>
      <c r="CK11" s="490"/>
      <c r="CL11" s="488"/>
      <c r="CM11" s="489"/>
      <c r="CN11" s="490"/>
      <c r="CO11" s="488"/>
      <c r="CP11" s="489"/>
      <c r="CQ11" s="490"/>
      <c r="CR11" s="488"/>
      <c r="CS11" s="489"/>
      <c r="CT11" s="490"/>
      <c r="CU11" s="488"/>
      <c r="CV11" s="489"/>
      <c r="CW11" s="490"/>
      <c r="CX11" s="488"/>
      <c r="CY11" s="489"/>
      <c r="CZ11" s="490"/>
      <c r="DA11" s="488"/>
      <c r="DB11" s="489"/>
      <c r="DC11" s="490"/>
      <c r="DD11" s="491"/>
      <c r="DE11" s="491"/>
      <c r="DF11" s="491"/>
      <c r="DG11" s="488"/>
      <c r="DH11" s="489"/>
      <c r="DI11" s="490"/>
      <c r="DJ11" s="507"/>
      <c r="DK11" s="508"/>
      <c r="DL11" s="509"/>
      <c r="DM11" s="507" t="s">
        <v>173</v>
      </c>
      <c r="DN11" s="508"/>
      <c r="DO11" s="509"/>
      <c r="DP11" s="504" t="s">
        <v>174</v>
      </c>
      <c r="DQ11" s="505"/>
      <c r="DR11" s="506"/>
      <c r="DS11" s="507" t="s">
        <v>175</v>
      </c>
      <c r="DT11" s="508"/>
      <c r="DU11" s="509"/>
      <c r="DV11" s="507" t="s">
        <v>250</v>
      </c>
      <c r="DW11" s="508"/>
      <c r="DX11" s="509"/>
      <c r="DY11" s="507"/>
      <c r="DZ11" s="508"/>
      <c r="EA11" s="509"/>
      <c r="EB11" s="507"/>
      <c r="EC11" s="508"/>
      <c r="ED11" s="509"/>
      <c r="EE11" s="507"/>
      <c r="EF11" s="508"/>
      <c r="EG11" s="509"/>
      <c r="EH11" s="507"/>
      <c r="EI11" s="508"/>
      <c r="EJ11" s="509"/>
      <c r="EK11" s="488"/>
      <c r="EL11" s="489"/>
      <c r="EM11" s="490"/>
      <c r="EN11" s="488"/>
      <c r="EO11" s="489"/>
      <c r="EP11" s="490"/>
      <c r="EQ11" s="488"/>
      <c r="ER11" s="489"/>
      <c r="ES11" s="490"/>
      <c r="ET11" s="491"/>
      <c r="EU11" s="491"/>
      <c r="EV11" s="491"/>
      <c r="EW11" s="488"/>
      <c r="EX11" s="489"/>
      <c r="EY11" s="490"/>
      <c r="FA11" s="174"/>
      <c r="FB11" s="174"/>
      <c r="FC11" s="174"/>
    </row>
    <row r="12" spans="1:159" s="169" customFormat="1" ht="42.75" customHeight="1">
      <c r="A12" s="491"/>
      <c r="B12" s="491"/>
      <c r="C12" s="177" t="s">
        <v>176</v>
      </c>
      <c r="D12" s="178" t="s">
        <v>177</v>
      </c>
      <c r="E12" s="177" t="s">
        <v>178</v>
      </c>
      <c r="F12" s="177" t="s">
        <v>176</v>
      </c>
      <c r="G12" s="177" t="s">
        <v>177</v>
      </c>
      <c r="H12" s="177" t="s">
        <v>178</v>
      </c>
      <c r="I12" s="177" t="s">
        <v>176</v>
      </c>
      <c r="J12" s="177" t="s">
        <v>177</v>
      </c>
      <c r="K12" s="177" t="s">
        <v>178</v>
      </c>
      <c r="L12" s="177" t="s">
        <v>176</v>
      </c>
      <c r="M12" s="177" t="s">
        <v>177</v>
      </c>
      <c r="N12" s="177" t="s">
        <v>178</v>
      </c>
      <c r="O12" s="177" t="s">
        <v>176</v>
      </c>
      <c r="P12" s="177" t="s">
        <v>177</v>
      </c>
      <c r="Q12" s="177" t="s">
        <v>178</v>
      </c>
      <c r="R12" s="177" t="s">
        <v>176</v>
      </c>
      <c r="S12" s="177" t="s">
        <v>177</v>
      </c>
      <c r="T12" s="177" t="s">
        <v>178</v>
      </c>
      <c r="U12" s="177" t="s">
        <v>176</v>
      </c>
      <c r="V12" s="177" t="s">
        <v>177</v>
      </c>
      <c r="W12" s="177" t="s">
        <v>178</v>
      </c>
      <c r="X12" s="177" t="s">
        <v>176</v>
      </c>
      <c r="Y12" s="177" t="s">
        <v>177</v>
      </c>
      <c r="Z12" s="177" t="s">
        <v>178</v>
      </c>
      <c r="AA12" s="177" t="s">
        <v>176</v>
      </c>
      <c r="AB12" s="177" t="s">
        <v>177</v>
      </c>
      <c r="AC12" s="177" t="s">
        <v>178</v>
      </c>
      <c r="AD12" s="177" t="s">
        <v>176</v>
      </c>
      <c r="AE12" s="177" t="s">
        <v>177</v>
      </c>
      <c r="AF12" s="177" t="s">
        <v>178</v>
      </c>
      <c r="AG12" s="177" t="s">
        <v>176</v>
      </c>
      <c r="AH12" s="177" t="s">
        <v>177</v>
      </c>
      <c r="AI12" s="177" t="s">
        <v>178</v>
      </c>
      <c r="AJ12" s="177" t="s">
        <v>176</v>
      </c>
      <c r="AK12" s="177" t="s">
        <v>177</v>
      </c>
      <c r="AL12" s="177" t="s">
        <v>178</v>
      </c>
      <c r="AM12" s="177" t="s">
        <v>176</v>
      </c>
      <c r="AN12" s="177" t="s">
        <v>177</v>
      </c>
      <c r="AO12" s="177" t="s">
        <v>178</v>
      </c>
      <c r="AP12" s="177" t="s">
        <v>176</v>
      </c>
      <c r="AQ12" s="177" t="s">
        <v>177</v>
      </c>
      <c r="AR12" s="177" t="s">
        <v>178</v>
      </c>
      <c r="AS12" s="177" t="s">
        <v>176</v>
      </c>
      <c r="AT12" s="177" t="s">
        <v>177</v>
      </c>
      <c r="AU12" s="177" t="s">
        <v>178</v>
      </c>
      <c r="AV12" s="177" t="s">
        <v>176</v>
      </c>
      <c r="AW12" s="177" t="s">
        <v>177</v>
      </c>
      <c r="AX12" s="177" t="s">
        <v>178</v>
      </c>
      <c r="AY12" s="177" t="s">
        <v>176</v>
      </c>
      <c r="AZ12" s="177" t="s">
        <v>177</v>
      </c>
      <c r="BA12" s="177" t="s">
        <v>178</v>
      </c>
      <c r="BB12" s="177"/>
      <c r="BC12" s="177"/>
      <c r="BD12" s="177"/>
      <c r="BE12" s="177" t="s">
        <v>179</v>
      </c>
      <c r="BF12" s="177" t="s">
        <v>177</v>
      </c>
      <c r="BG12" s="177" t="s">
        <v>178</v>
      </c>
      <c r="BH12" s="177" t="s">
        <v>176</v>
      </c>
      <c r="BI12" s="177" t="s">
        <v>177</v>
      </c>
      <c r="BJ12" s="177" t="s">
        <v>178</v>
      </c>
      <c r="BK12" s="177" t="s">
        <v>176</v>
      </c>
      <c r="BL12" s="177" t="s">
        <v>177</v>
      </c>
      <c r="BM12" s="177" t="s">
        <v>178</v>
      </c>
      <c r="BN12" s="177" t="s">
        <v>179</v>
      </c>
      <c r="BO12" s="177" t="s">
        <v>177</v>
      </c>
      <c r="BP12" s="177" t="s">
        <v>178</v>
      </c>
      <c r="BQ12" s="177" t="s">
        <v>179</v>
      </c>
      <c r="BR12" s="177" t="s">
        <v>177</v>
      </c>
      <c r="BS12" s="177" t="s">
        <v>178</v>
      </c>
      <c r="BT12" s="177" t="s">
        <v>179</v>
      </c>
      <c r="BU12" s="177" t="s">
        <v>177</v>
      </c>
      <c r="BV12" s="177" t="s">
        <v>178</v>
      </c>
      <c r="BW12" s="177" t="s">
        <v>179</v>
      </c>
      <c r="BX12" s="177" t="s">
        <v>177</v>
      </c>
      <c r="BY12" s="177" t="s">
        <v>178</v>
      </c>
      <c r="BZ12" s="177" t="s">
        <v>176</v>
      </c>
      <c r="CA12" s="177" t="s">
        <v>177</v>
      </c>
      <c r="CB12" s="177" t="s">
        <v>178</v>
      </c>
      <c r="CC12" s="177" t="s">
        <v>176</v>
      </c>
      <c r="CD12" s="177" t="s">
        <v>177</v>
      </c>
      <c r="CE12" s="177" t="s">
        <v>178</v>
      </c>
      <c r="CF12" s="177" t="s">
        <v>176</v>
      </c>
      <c r="CG12" s="177" t="s">
        <v>177</v>
      </c>
      <c r="CH12" s="177" t="s">
        <v>178</v>
      </c>
      <c r="CI12" s="177" t="s">
        <v>176</v>
      </c>
      <c r="CJ12" s="177" t="s">
        <v>177</v>
      </c>
      <c r="CK12" s="177" t="s">
        <v>178</v>
      </c>
      <c r="CL12" s="177" t="s">
        <v>176</v>
      </c>
      <c r="CM12" s="177" t="s">
        <v>177</v>
      </c>
      <c r="CN12" s="177" t="s">
        <v>178</v>
      </c>
      <c r="CO12" s="177" t="s">
        <v>176</v>
      </c>
      <c r="CP12" s="177" t="s">
        <v>177</v>
      </c>
      <c r="CQ12" s="177" t="s">
        <v>178</v>
      </c>
      <c r="CR12" s="177" t="s">
        <v>176</v>
      </c>
      <c r="CS12" s="177" t="s">
        <v>177</v>
      </c>
      <c r="CT12" s="177" t="s">
        <v>178</v>
      </c>
      <c r="CU12" s="177" t="s">
        <v>176</v>
      </c>
      <c r="CV12" s="177" t="s">
        <v>177</v>
      </c>
      <c r="CW12" s="177" t="s">
        <v>178</v>
      </c>
      <c r="CX12" s="177" t="s">
        <v>176</v>
      </c>
      <c r="CY12" s="177" t="s">
        <v>177</v>
      </c>
      <c r="CZ12" s="177" t="s">
        <v>178</v>
      </c>
      <c r="DA12" s="177" t="s">
        <v>176</v>
      </c>
      <c r="DB12" s="177" t="s">
        <v>177</v>
      </c>
      <c r="DC12" s="177" t="s">
        <v>178</v>
      </c>
      <c r="DD12" s="177" t="s">
        <v>176</v>
      </c>
      <c r="DE12" s="177" t="s">
        <v>177</v>
      </c>
      <c r="DF12" s="177" t="s">
        <v>178</v>
      </c>
      <c r="DG12" s="177" t="s">
        <v>176</v>
      </c>
      <c r="DH12" s="177" t="s">
        <v>177</v>
      </c>
      <c r="DI12" s="177" t="s">
        <v>178</v>
      </c>
      <c r="DJ12" s="177" t="s">
        <v>176</v>
      </c>
      <c r="DK12" s="177" t="s">
        <v>177</v>
      </c>
      <c r="DL12" s="177" t="s">
        <v>178</v>
      </c>
      <c r="DM12" s="177" t="s">
        <v>176</v>
      </c>
      <c r="DN12" s="177" t="s">
        <v>177</v>
      </c>
      <c r="DO12" s="177" t="s">
        <v>178</v>
      </c>
      <c r="DP12" s="177" t="s">
        <v>176</v>
      </c>
      <c r="DQ12" s="177" t="s">
        <v>177</v>
      </c>
      <c r="DR12" s="177" t="s">
        <v>178</v>
      </c>
      <c r="DS12" s="177" t="s">
        <v>176</v>
      </c>
      <c r="DT12" s="177" t="s">
        <v>177</v>
      </c>
      <c r="DU12" s="177" t="s">
        <v>178</v>
      </c>
      <c r="DV12" s="177" t="s">
        <v>176</v>
      </c>
      <c r="DW12" s="177" t="s">
        <v>177</v>
      </c>
      <c r="DX12" s="177" t="s">
        <v>178</v>
      </c>
      <c r="DY12" s="177" t="s">
        <v>176</v>
      </c>
      <c r="DZ12" s="177" t="s">
        <v>177</v>
      </c>
      <c r="EA12" s="177" t="s">
        <v>178</v>
      </c>
      <c r="EB12" s="177" t="s">
        <v>176</v>
      </c>
      <c r="EC12" s="177" t="s">
        <v>177</v>
      </c>
      <c r="ED12" s="177" t="s">
        <v>178</v>
      </c>
      <c r="EE12" s="177" t="s">
        <v>176</v>
      </c>
      <c r="EF12" s="177" t="s">
        <v>177</v>
      </c>
      <c r="EG12" s="177" t="s">
        <v>178</v>
      </c>
      <c r="EH12" s="177" t="s">
        <v>176</v>
      </c>
      <c r="EI12" s="177" t="s">
        <v>177</v>
      </c>
      <c r="EJ12" s="177" t="s">
        <v>178</v>
      </c>
      <c r="EK12" s="177" t="s">
        <v>176</v>
      </c>
      <c r="EL12" s="177" t="s">
        <v>177</v>
      </c>
      <c r="EM12" s="177" t="s">
        <v>178</v>
      </c>
      <c r="EN12" s="177" t="s">
        <v>176</v>
      </c>
      <c r="EO12" s="177" t="s">
        <v>177</v>
      </c>
      <c r="EP12" s="177" t="s">
        <v>178</v>
      </c>
      <c r="EQ12" s="177" t="s">
        <v>176</v>
      </c>
      <c r="ER12" s="177" t="s">
        <v>177</v>
      </c>
      <c r="ES12" s="177" t="s">
        <v>178</v>
      </c>
      <c r="ET12" s="177" t="s">
        <v>176</v>
      </c>
      <c r="EU12" s="177" t="s">
        <v>177</v>
      </c>
      <c r="EV12" s="177" t="s">
        <v>178</v>
      </c>
      <c r="EW12" s="177" t="s">
        <v>176</v>
      </c>
      <c r="EX12" s="177" t="s">
        <v>177</v>
      </c>
      <c r="EY12" s="177" t="s">
        <v>178</v>
      </c>
      <c r="FA12" s="174"/>
      <c r="FB12" s="174"/>
      <c r="FC12" s="174"/>
    </row>
    <row r="13" spans="1:159" s="169" customFormat="1" ht="14.25" customHeight="1">
      <c r="A13" s="165">
        <v>1</v>
      </c>
      <c r="B13" s="177">
        <v>2</v>
      </c>
      <c r="C13" s="165">
        <v>3</v>
      </c>
      <c r="D13" s="178">
        <v>4</v>
      </c>
      <c r="E13" s="165">
        <v>5</v>
      </c>
      <c r="F13" s="177">
        <v>6</v>
      </c>
      <c r="G13" s="165">
        <v>7</v>
      </c>
      <c r="H13" s="177">
        <v>8</v>
      </c>
      <c r="I13" s="165">
        <v>9</v>
      </c>
      <c r="J13" s="177">
        <v>10</v>
      </c>
      <c r="K13" s="165">
        <v>11</v>
      </c>
      <c r="L13" s="165">
        <v>12</v>
      </c>
      <c r="M13" s="165">
        <v>13</v>
      </c>
      <c r="N13" s="165">
        <v>14</v>
      </c>
      <c r="O13" s="165">
        <v>15</v>
      </c>
      <c r="P13" s="165">
        <v>16</v>
      </c>
      <c r="Q13" s="165">
        <v>17</v>
      </c>
      <c r="R13" s="165">
        <v>18</v>
      </c>
      <c r="S13" s="165">
        <v>19</v>
      </c>
      <c r="T13" s="165">
        <v>20</v>
      </c>
      <c r="U13" s="165">
        <v>21</v>
      </c>
      <c r="V13" s="165">
        <v>22</v>
      </c>
      <c r="W13" s="165">
        <v>23</v>
      </c>
      <c r="X13" s="177">
        <v>24</v>
      </c>
      <c r="Y13" s="165">
        <v>25</v>
      </c>
      <c r="Z13" s="177">
        <v>26</v>
      </c>
      <c r="AA13" s="165">
        <v>27</v>
      </c>
      <c r="AB13" s="177">
        <v>28</v>
      </c>
      <c r="AC13" s="165">
        <v>29</v>
      </c>
      <c r="AD13" s="177">
        <v>30</v>
      </c>
      <c r="AE13" s="165">
        <v>31</v>
      </c>
      <c r="AF13" s="177">
        <v>32</v>
      </c>
      <c r="AG13" s="165">
        <v>33</v>
      </c>
      <c r="AH13" s="177">
        <v>34</v>
      </c>
      <c r="AI13" s="165">
        <v>35</v>
      </c>
      <c r="AJ13" s="165">
        <v>36</v>
      </c>
      <c r="AK13" s="165">
        <v>37</v>
      </c>
      <c r="AL13" s="165">
        <v>38</v>
      </c>
      <c r="AM13" s="177">
        <v>39</v>
      </c>
      <c r="AN13" s="165">
        <v>40</v>
      </c>
      <c r="AO13" s="177">
        <v>41</v>
      </c>
      <c r="AP13" s="165">
        <v>42</v>
      </c>
      <c r="AQ13" s="177">
        <v>43</v>
      </c>
      <c r="AR13" s="165">
        <v>44</v>
      </c>
      <c r="AS13" s="165">
        <v>45</v>
      </c>
      <c r="AT13" s="177">
        <v>46</v>
      </c>
      <c r="AU13" s="165">
        <v>47</v>
      </c>
      <c r="AV13" s="165">
        <v>48</v>
      </c>
      <c r="AW13" s="177">
        <v>49</v>
      </c>
      <c r="AX13" s="165">
        <v>50</v>
      </c>
      <c r="AY13" s="165">
        <v>48</v>
      </c>
      <c r="AZ13" s="177">
        <v>49</v>
      </c>
      <c r="BA13" s="165">
        <v>50</v>
      </c>
      <c r="BB13" s="165">
        <v>51</v>
      </c>
      <c r="BC13" s="165">
        <v>52</v>
      </c>
      <c r="BD13" s="165">
        <v>56</v>
      </c>
      <c r="BE13" s="177">
        <v>51</v>
      </c>
      <c r="BF13" s="165">
        <v>52</v>
      </c>
      <c r="BG13" s="177">
        <v>53</v>
      </c>
      <c r="BH13" s="165">
        <v>60</v>
      </c>
      <c r="BI13" s="179">
        <v>61</v>
      </c>
      <c r="BJ13" s="180">
        <v>62</v>
      </c>
      <c r="BK13" s="165">
        <v>63</v>
      </c>
      <c r="BL13" s="165">
        <v>64</v>
      </c>
      <c r="BM13" s="165">
        <v>65</v>
      </c>
      <c r="BN13" s="165">
        <v>66</v>
      </c>
      <c r="BO13" s="165">
        <v>67</v>
      </c>
      <c r="BP13" s="165">
        <v>68</v>
      </c>
      <c r="BQ13" s="177">
        <v>54</v>
      </c>
      <c r="BR13" s="165">
        <v>55</v>
      </c>
      <c r="BS13" s="177">
        <v>56</v>
      </c>
      <c r="BT13" s="165">
        <v>72</v>
      </c>
      <c r="BU13" s="177">
        <v>73</v>
      </c>
      <c r="BV13" s="165">
        <v>74</v>
      </c>
      <c r="BW13" s="177">
        <v>75</v>
      </c>
      <c r="BX13" s="165">
        <v>76</v>
      </c>
      <c r="BY13" s="177">
        <v>77</v>
      </c>
      <c r="BZ13" s="165">
        <v>57</v>
      </c>
      <c r="CA13" s="177">
        <v>58</v>
      </c>
      <c r="CB13" s="165">
        <v>59</v>
      </c>
      <c r="CC13" s="177">
        <v>60</v>
      </c>
      <c r="CD13" s="165">
        <v>61</v>
      </c>
      <c r="CE13" s="177">
        <v>62</v>
      </c>
      <c r="CF13" s="165">
        <v>63</v>
      </c>
      <c r="CG13" s="177">
        <v>64</v>
      </c>
      <c r="CH13" s="165">
        <v>65</v>
      </c>
      <c r="CI13" s="177">
        <v>66</v>
      </c>
      <c r="CJ13" s="165">
        <v>67</v>
      </c>
      <c r="CK13" s="177">
        <v>68</v>
      </c>
      <c r="CL13" s="165">
        <v>69</v>
      </c>
      <c r="CM13" s="177">
        <v>70</v>
      </c>
      <c r="CN13" s="165">
        <v>71</v>
      </c>
      <c r="CO13" s="165">
        <v>72</v>
      </c>
      <c r="CP13" s="165">
        <v>73</v>
      </c>
      <c r="CQ13" s="165">
        <v>74</v>
      </c>
      <c r="CR13" s="165">
        <v>75</v>
      </c>
      <c r="CS13" s="165">
        <v>76</v>
      </c>
      <c r="CT13" s="165">
        <v>77</v>
      </c>
      <c r="CU13" s="165">
        <v>78</v>
      </c>
      <c r="CV13" s="165">
        <v>79</v>
      </c>
      <c r="CW13" s="165">
        <v>80</v>
      </c>
      <c r="CX13" s="177">
        <v>96</v>
      </c>
      <c r="CY13" s="165">
        <v>97</v>
      </c>
      <c r="CZ13" s="177">
        <v>98</v>
      </c>
      <c r="DA13" s="177">
        <v>99</v>
      </c>
      <c r="DB13" s="177">
        <v>100</v>
      </c>
      <c r="DC13" s="177">
        <v>101</v>
      </c>
      <c r="DD13" s="177">
        <v>102</v>
      </c>
      <c r="DE13" s="177">
        <v>103</v>
      </c>
      <c r="DF13" s="177">
        <v>104</v>
      </c>
      <c r="DG13" s="165">
        <v>81</v>
      </c>
      <c r="DH13" s="177">
        <v>82</v>
      </c>
      <c r="DI13" s="165">
        <v>83</v>
      </c>
      <c r="DJ13" s="177">
        <v>84</v>
      </c>
      <c r="DK13" s="165">
        <v>85</v>
      </c>
      <c r="DL13" s="177">
        <v>86</v>
      </c>
      <c r="DM13" s="165">
        <v>87</v>
      </c>
      <c r="DN13" s="177">
        <v>88</v>
      </c>
      <c r="DO13" s="165">
        <v>89</v>
      </c>
      <c r="DP13" s="177">
        <v>90</v>
      </c>
      <c r="DQ13" s="165">
        <v>91</v>
      </c>
      <c r="DR13" s="177">
        <v>92</v>
      </c>
      <c r="DS13" s="165">
        <v>93</v>
      </c>
      <c r="DT13" s="177">
        <v>94</v>
      </c>
      <c r="DU13" s="165">
        <v>95</v>
      </c>
      <c r="DV13" s="177">
        <v>96</v>
      </c>
      <c r="DW13" s="177">
        <v>97</v>
      </c>
      <c r="DX13" s="177">
        <v>98</v>
      </c>
      <c r="DY13" s="165">
        <v>99</v>
      </c>
      <c r="DZ13" s="177">
        <v>100</v>
      </c>
      <c r="EA13" s="165">
        <v>101</v>
      </c>
      <c r="EB13" s="177">
        <v>102</v>
      </c>
      <c r="EC13" s="165">
        <v>103</v>
      </c>
      <c r="ED13" s="177">
        <v>104</v>
      </c>
      <c r="EE13" s="165">
        <v>105</v>
      </c>
      <c r="EF13" s="177">
        <v>106</v>
      </c>
      <c r="EG13" s="165">
        <v>107</v>
      </c>
      <c r="EH13" s="177">
        <v>108</v>
      </c>
      <c r="EI13" s="165">
        <v>109</v>
      </c>
      <c r="EJ13" s="177">
        <v>110</v>
      </c>
      <c r="EK13" s="165">
        <v>111</v>
      </c>
      <c r="EL13" s="177">
        <v>112</v>
      </c>
      <c r="EM13" s="165">
        <v>113</v>
      </c>
      <c r="EN13" s="177">
        <v>114</v>
      </c>
      <c r="EO13" s="165">
        <v>115</v>
      </c>
      <c r="EP13" s="177">
        <v>116</v>
      </c>
      <c r="EQ13" s="165">
        <v>117</v>
      </c>
      <c r="ER13" s="177">
        <v>118</v>
      </c>
      <c r="ES13" s="165">
        <v>119</v>
      </c>
      <c r="ET13" s="177">
        <v>120</v>
      </c>
      <c r="EU13" s="165">
        <v>121</v>
      </c>
      <c r="EV13" s="177">
        <v>122</v>
      </c>
      <c r="EW13" s="165">
        <v>123</v>
      </c>
      <c r="EX13" s="177">
        <v>124</v>
      </c>
      <c r="EY13" s="165">
        <v>125</v>
      </c>
    </row>
    <row r="14" spans="1:159" s="169" customFormat="1" ht="15" customHeight="1">
      <c r="A14" s="181">
        <v>1</v>
      </c>
      <c r="B14" s="182" t="s">
        <v>304</v>
      </c>
      <c r="C14" s="183">
        <f>F14+BZ14</f>
        <v>3517.761</v>
      </c>
      <c r="D14" s="448">
        <f t="shared" ref="D14:D29" si="0">G14+CA14+CY14</f>
        <v>3641.3930300000002</v>
      </c>
      <c r="E14" s="184">
        <f t="shared" ref="E14:E29" si="1">D14/C14*100</f>
        <v>103.51450908688795</v>
      </c>
      <c r="F14" s="185">
        <f t="shared" ref="F14:F29" si="2">I14+X14+AA14+AD14+AG14+AM14+AS14+BE14+BQ14+BN14+AJ14+AY14+L14+R14+O14+U14+AP14</f>
        <v>602.89</v>
      </c>
      <c r="G14" s="185">
        <f t="shared" ref="G14:G29" si="3">J14+Y14+AB14+AE14+AH14+AN14+AT14+BF14+AK14+BR14+BO14+AZ14+M14+S14+P14+V14+AQ14</f>
        <v>595.58185000000003</v>
      </c>
      <c r="H14" s="184">
        <f>G14/F14*100</f>
        <v>98.787813697357734</v>
      </c>
      <c r="I14" s="290">
        <f>Але!C6</f>
        <v>69</v>
      </c>
      <c r="J14" s="290">
        <f>Але!D6</f>
        <v>68.115600000000001</v>
      </c>
      <c r="K14" s="184">
        <f>J14/I14*100</f>
        <v>98.718260869565228</v>
      </c>
      <c r="L14" s="184">
        <f>Але!C8</f>
        <v>82.02</v>
      </c>
      <c r="M14" s="184">
        <f>Але!D8</f>
        <v>104.26425</v>
      </c>
      <c r="N14" s="184">
        <f>M14/L14*100</f>
        <v>127.12051938551573</v>
      </c>
      <c r="O14" s="184">
        <f>Але!C9</f>
        <v>0.88</v>
      </c>
      <c r="P14" s="184">
        <f>Але!D9</f>
        <v>1.00413</v>
      </c>
      <c r="Q14" s="184">
        <f>P14/O14*100</f>
        <v>114.10568181818181</v>
      </c>
      <c r="R14" s="184">
        <f>Але!C10</f>
        <v>136.99</v>
      </c>
      <c r="S14" s="184">
        <f>Але!D10</f>
        <v>152.09710000000001</v>
      </c>
      <c r="T14" s="184">
        <f>S14/R14*100</f>
        <v>111.02788524709833</v>
      </c>
      <c r="U14" s="184">
        <f>Але!C11</f>
        <v>0</v>
      </c>
      <c r="V14" s="397">
        <f>Але!D11</f>
        <v>-23.361090000000001</v>
      </c>
      <c r="W14" s="184" t="e">
        <f>V14/U14*100</f>
        <v>#DIV/0!</v>
      </c>
      <c r="X14" s="186">
        <f>Але!C13</f>
        <v>5</v>
      </c>
      <c r="Y14" s="186">
        <f>Але!D13</f>
        <v>0</v>
      </c>
      <c r="Z14" s="184">
        <f>Y14/X14*100</f>
        <v>0</v>
      </c>
      <c r="AA14" s="186">
        <f>Але!C15</f>
        <v>40</v>
      </c>
      <c r="AB14" s="186">
        <f>Але!D15</f>
        <v>34.554929999999999</v>
      </c>
      <c r="AC14" s="184">
        <f>AB14/AA14*100</f>
        <v>86.38732499999999</v>
      </c>
      <c r="AD14" s="186">
        <f>Але!C16</f>
        <v>210</v>
      </c>
      <c r="AE14" s="186">
        <f>Але!D16</f>
        <v>199.82225</v>
      </c>
      <c r="AF14" s="184">
        <f t="shared" ref="AF14:AF29" si="4">AE14/AD14*100</f>
        <v>95.153452380952373</v>
      </c>
      <c r="AG14" s="184">
        <f>Але!C18</f>
        <v>3</v>
      </c>
      <c r="AH14" s="184">
        <f>Але!D18</f>
        <v>4.8</v>
      </c>
      <c r="AI14" s="184">
        <f>AH14/AG14*100</f>
        <v>160</v>
      </c>
      <c r="AJ14" s="184"/>
      <c r="AK14" s="184"/>
      <c r="AL14" s="187" t="e">
        <f t="shared" ref="AL14:AL23" si="5">AK14/AJ14*100</f>
        <v>#DIV/0!</v>
      </c>
      <c r="AM14" s="186">
        <v>0</v>
      </c>
      <c r="AN14" s="186">
        <v>0</v>
      </c>
      <c r="AO14" s="187" t="e">
        <f t="shared" ref="AO14:AO29" si="6">AN14/AM14*100</f>
        <v>#DIV/0!</v>
      </c>
      <c r="AP14" s="186">
        <f>Але!C27</f>
        <v>56</v>
      </c>
      <c r="AQ14" s="434">
        <f>Але!D27</f>
        <v>54.284680000000002</v>
      </c>
      <c r="AR14" s="184">
        <f>AQ14/AP14*100</f>
        <v>96.936928571428567</v>
      </c>
      <c r="AS14" s="188">
        <f>Але!C28</f>
        <v>0</v>
      </c>
      <c r="AT14" s="203">
        <f>Але!D28</f>
        <v>0</v>
      </c>
      <c r="AU14" s="184" t="e">
        <f>AT14/AS14*100</f>
        <v>#DIV/0!</v>
      </c>
      <c r="AV14" s="186"/>
      <c r="AW14" s="186"/>
      <c r="AX14" s="184" t="e">
        <f>AW14/AV14*100</f>
        <v>#DIV/0!</v>
      </c>
      <c r="AY14" s="184">
        <f>Але!C29</f>
        <v>0</v>
      </c>
      <c r="AZ14" s="184">
        <f>Але!C30</f>
        <v>0</v>
      </c>
      <c r="BA14" s="184" t="e">
        <f>AZ14/AY14*100</f>
        <v>#DIV/0!</v>
      </c>
      <c r="BB14" s="184">
        <f>Але!C30</f>
        <v>0</v>
      </c>
      <c r="BC14" s="184">
        <f>Але!D30</f>
        <v>0</v>
      </c>
      <c r="BD14" s="184" t="e">
        <f>BC14/BB14*100</f>
        <v>#DIV/0!</v>
      </c>
      <c r="BE14" s="184">
        <f>Але!C32</f>
        <v>0</v>
      </c>
      <c r="BF14" s="184">
        <f>Але!D31</f>
        <v>0</v>
      </c>
      <c r="BG14" s="184" t="e">
        <f>BF14/BE14*100</f>
        <v>#DIV/0!</v>
      </c>
      <c r="BH14" s="184"/>
      <c r="BI14" s="184"/>
      <c r="BJ14" s="184" t="e">
        <f>BI14/BH14*100</f>
        <v>#DIV/0!</v>
      </c>
      <c r="BK14" s="184"/>
      <c r="BL14" s="184"/>
      <c r="BM14" s="184"/>
      <c r="BN14" s="184"/>
      <c r="BO14" s="222"/>
      <c r="BP14" s="184" t="e">
        <f>BO14/BN14*100</f>
        <v>#DIV/0!</v>
      </c>
      <c r="BQ14" s="184">
        <f>Але!C34</f>
        <v>0</v>
      </c>
      <c r="BR14" s="184">
        <f>Але!D35</f>
        <v>0</v>
      </c>
      <c r="BS14" s="184" t="e">
        <f>BR14/BQ14*100</f>
        <v>#DIV/0!</v>
      </c>
      <c r="BT14" s="184"/>
      <c r="BU14" s="184"/>
      <c r="BV14" s="189" t="e">
        <f>BT14/BU14*100</f>
        <v>#DIV/0!</v>
      </c>
      <c r="BW14" s="189"/>
      <c r="BX14" s="189"/>
      <c r="BY14" s="189" t="e">
        <f>BW14/BX14*100</f>
        <v>#DIV/0!</v>
      </c>
      <c r="BZ14" s="186">
        <f>CC14+CF14+CI14+CL14+CR14+CO14</f>
        <v>2914.8710000000001</v>
      </c>
      <c r="CA14" s="186">
        <f>CD14+CG14+CJ14+CM14+CS14+CP14+CV14</f>
        <v>3045.8111800000001</v>
      </c>
      <c r="CB14" s="184">
        <f>CA14/BZ14*100</f>
        <v>104.49214322006017</v>
      </c>
      <c r="CC14" s="187">
        <f>Але!C39</f>
        <v>1200.0540000000001</v>
      </c>
      <c r="CD14" s="187">
        <f>Але!D39</f>
        <v>1200.0540000000001</v>
      </c>
      <c r="CE14" s="184">
        <f>CD14/CC14*100</f>
        <v>100</v>
      </c>
      <c r="CF14" s="184">
        <f>Але!C40</f>
        <v>816.60500000000002</v>
      </c>
      <c r="CG14" s="184">
        <f>Але!D40</f>
        <v>816.60500000000002</v>
      </c>
      <c r="CH14" s="184">
        <f>CG14/CF14*100</f>
        <v>100</v>
      </c>
      <c r="CI14" s="184">
        <f>Але!C41</f>
        <v>670.45500000000004</v>
      </c>
      <c r="CJ14" s="184">
        <f>Але!D41</f>
        <v>670.45500000000004</v>
      </c>
      <c r="CK14" s="184">
        <f t="shared" ref="CK14:CK29" si="7">CJ14/CI14*100</f>
        <v>100</v>
      </c>
      <c r="CL14" s="184">
        <f>Але!C42</f>
        <v>87.757000000000005</v>
      </c>
      <c r="CM14" s="184">
        <f>Але!D42</f>
        <v>87.757000000000005</v>
      </c>
      <c r="CN14" s="184">
        <f t="shared" ref="CN14:CN31" si="8">CM14/CL14*100</f>
        <v>100</v>
      </c>
      <c r="CO14" s="184"/>
      <c r="CP14" s="184"/>
      <c r="CQ14" s="184"/>
      <c r="CR14" s="184">
        <f>Але!C43</f>
        <v>140</v>
      </c>
      <c r="CS14" s="184">
        <f>Але!D43</f>
        <v>273.10777000000002</v>
      </c>
      <c r="CT14" s="184">
        <f t="shared" ref="CT14:CT31" si="9">CS14/CR14*100</f>
        <v>195.07697857142858</v>
      </c>
      <c r="CU14" s="184"/>
      <c r="CV14" s="184">
        <f>Але!D45</f>
        <v>-2.1675900000000001</v>
      </c>
      <c r="CW14" s="184" t="e">
        <f>CV13:CV14/CU14*100</f>
        <v>#DIV/0!</v>
      </c>
      <c r="CX14" s="186"/>
      <c r="CY14" s="186"/>
      <c r="CZ14" s="184" t="e">
        <f>CY14/CX14*100</f>
        <v>#DIV/0!</v>
      </c>
      <c r="DA14" s="184"/>
      <c r="DB14" s="184"/>
      <c r="DC14" s="184"/>
      <c r="DD14" s="184"/>
      <c r="DE14" s="184"/>
      <c r="DF14" s="184"/>
      <c r="DG14" s="186">
        <f>DJ14+DY14+EB14+EE14+EH14+EK14+EN14+EQ14+ET14</f>
        <v>3541.3965399999997</v>
      </c>
      <c r="DH14" s="186">
        <f>DK14+DZ14+EC14+EF14+EI14+EL14+EO14+ER14+EU14</f>
        <v>3466.1986399999992</v>
      </c>
      <c r="DI14" s="184">
        <f>DH14/DG14*100</f>
        <v>97.876603222750063</v>
      </c>
      <c r="DJ14" s="186">
        <f>DM14+DP14+DS14+DV14</f>
        <v>1106.854</v>
      </c>
      <c r="DK14" s="186">
        <f>DN14+DQ14+DT14+DW14</f>
        <v>1081.54405</v>
      </c>
      <c r="DL14" s="184">
        <f>DK14/DJ14*100</f>
        <v>97.713343403917762</v>
      </c>
      <c r="DM14" s="184">
        <f>Але!C54</f>
        <v>1103.472</v>
      </c>
      <c r="DN14" s="184">
        <f>Але!D54</f>
        <v>1079.16255</v>
      </c>
      <c r="DO14" s="184">
        <f>DN14/DM14*100</f>
        <v>97.797003458175652</v>
      </c>
      <c r="DP14" s="184">
        <f>Але!C57</f>
        <v>0</v>
      </c>
      <c r="DQ14" s="184">
        <f>Але!D57</f>
        <v>0</v>
      </c>
      <c r="DR14" s="184" t="e">
        <f>DQ14/DP14*100</f>
        <v>#DIV/0!</v>
      </c>
      <c r="DS14" s="184">
        <f>Але!C58</f>
        <v>1</v>
      </c>
      <c r="DT14" s="184">
        <f>Але!D58</f>
        <v>0</v>
      </c>
      <c r="DU14" s="184">
        <f>DT14/DS14*100</f>
        <v>0</v>
      </c>
      <c r="DV14" s="184">
        <f>Але!C59</f>
        <v>2.3820000000000001</v>
      </c>
      <c r="DW14" s="184">
        <f>Але!D59</f>
        <v>2.3815</v>
      </c>
      <c r="DX14" s="184">
        <f>DW14/DV14*100</f>
        <v>99.979009235936175</v>
      </c>
      <c r="DY14" s="184">
        <f>Але!C61</f>
        <v>85.376999999999995</v>
      </c>
      <c r="DZ14" s="184">
        <f>Але!D61</f>
        <v>85.376999999999995</v>
      </c>
      <c r="EA14" s="184">
        <f>DZ14/DY14*100</f>
        <v>100</v>
      </c>
      <c r="EB14" s="184">
        <f>Але!C62</f>
        <v>11.731</v>
      </c>
      <c r="EC14" s="184">
        <f>Але!D62</f>
        <v>9.8558299999999992</v>
      </c>
      <c r="ED14" s="184">
        <f>EC14/EB14*100</f>
        <v>84.015258716221979</v>
      </c>
      <c r="EE14" s="186">
        <f>Але!C67</f>
        <v>1139.57754</v>
      </c>
      <c r="EF14" s="186">
        <f>Але!D67</f>
        <v>1092.1074899999999</v>
      </c>
      <c r="EG14" s="184">
        <f>EF14/EE14*100</f>
        <v>95.834416848896467</v>
      </c>
      <c r="EH14" s="186">
        <f>Але!C72</f>
        <v>328.50700000000001</v>
      </c>
      <c r="EI14" s="186">
        <f>Але!D72</f>
        <v>328.31826999999998</v>
      </c>
      <c r="EJ14" s="184">
        <f>EI14/EH14*100</f>
        <v>99.942549169424083</v>
      </c>
      <c r="EK14" s="186">
        <f>Але!C76</f>
        <v>865.5</v>
      </c>
      <c r="EL14" s="190">
        <f>Але!D76</f>
        <v>865.14599999999996</v>
      </c>
      <c r="EM14" s="184">
        <f t="shared" ref="EM14:EM29" si="10">EL14/EK14*100</f>
        <v>99.95909878682842</v>
      </c>
      <c r="EN14" s="184">
        <f>Але!C78</f>
        <v>0</v>
      </c>
      <c r="EO14" s="184">
        <f>Але!D78</f>
        <v>0</v>
      </c>
      <c r="EP14" s="184" t="e">
        <f t="shared" ref="EP14:EP29" si="11">EO14/EN14*100</f>
        <v>#DIV/0!</v>
      </c>
      <c r="EQ14" s="185">
        <f>Але!C83</f>
        <v>3.85</v>
      </c>
      <c r="ER14" s="185">
        <f>Але!D83</f>
        <v>3.85</v>
      </c>
      <c r="ES14" s="184">
        <f>ER14/EQ14*100</f>
        <v>100</v>
      </c>
      <c r="ET14" s="184">
        <f>Але!C89</f>
        <v>0</v>
      </c>
      <c r="EU14" s="184">
        <f>Але!D89</f>
        <v>0</v>
      </c>
      <c r="EV14" s="184" t="e">
        <f>EU14/ET14*100</f>
        <v>#DIV/0!</v>
      </c>
      <c r="EW14" s="191">
        <f t="shared" ref="EW14:EW29" si="12">SUM(C14-DG14)</f>
        <v>-23.635539999999764</v>
      </c>
      <c r="EX14" s="191">
        <f t="shared" ref="EX14:EX29" si="13">SUM(D14-DH14)</f>
        <v>175.19439000000102</v>
      </c>
      <c r="EY14" s="184">
        <f>EX14/EW14*100%</f>
        <v>-7.4123286372980166</v>
      </c>
      <c r="EZ14" s="192"/>
      <c r="FA14" s="193"/>
      <c r="FC14" s="193"/>
    </row>
    <row r="15" spans="1:159" s="199" customFormat="1" ht="15" customHeight="1">
      <c r="A15" s="181">
        <v>2</v>
      </c>
      <c r="B15" s="194" t="s">
        <v>305</v>
      </c>
      <c r="C15" s="183">
        <f t="shared" ref="C15:C29" si="14">F15+BZ15</f>
        <v>10437.35223</v>
      </c>
      <c r="D15" s="448">
        <f>G15+CA15+CY15</f>
        <v>10784.700260000001</v>
      </c>
      <c r="E15" s="187">
        <f t="shared" si="1"/>
        <v>103.32793243291742</v>
      </c>
      <c r="F15" s="185">
        <f t="shared" si="2"/>
        <v>3954.0432300000002</v>
      </c>
      <c r="G15" s="185">
        <f>J15+Y15+AB15+AE15+AH15+AN15+AT15+BF15+AK15+BR15+BO15+AZ15+M15+S15+P15+V15+AQ15</f>
        <v>4301.3932900000009</v>
      </c>
      <c r="H15" s="187">
        <f t="shared" ref="H15:H29" si="15">G15/F15*100</f>
        <v>108.78468038398256</v>
      </c>
      <c r="I15" s="195">
        <f>Сун!C6</f>
        <v>482.9</v>
      </c>
      <c r="J15" s="195">
        <f>Сун!D6</f>
        <v>412.01832999999999</v>
      </c>
      <c r="K15" s="187">
        <f t="shared" ref="K15:K29" si="16">J15/I15*100</f>
        <v>85.321667011803697</v>
      </c>
      <c r="L15" s="187">
        <f>Сун!C8</f>
        <v>208.63</v>
      </c>
      <c r="M15" s="187">
        <f>Сун!D8</f>
        <v>265.21588000000003</v>
      </c>
      <c r="N15" s="184">
        <f t="shared" ref="N15:N29" si="17">M15/L15*100</f>
        <v>127.12259981785938</v>
      </c>
      <c r="O15" s="184">
        <f>Сун!C9</f>
        <v>2.2000000000000002</v>
      </c>
      <c r="P15" s="184">
        <f>Сун!D9</f>
        <v>2.55423</v>
      </c>
      <c r="Q15" s="184">
        <f t="shared" ref="Q15:Q29" si="18">P15/O15*100</f>
        <v>116.10136363636363</v>
      </c>
      <c r="R15" s="184">
        <f>Сун!C10</f>
        <v>391.31322999999998</v>
      </c>
      <c r="S15" s="184">
        <f>Сун!D10</f>
        <v>386.88783999999998</v>
      </c>
      <c r="T15" s="184">
        <f t="shared" ref="T15:T29" si="19">S15/R15*100</f>
        <v>98.869092670339825</v>
      </c>
      <c r="U15" s="184">
        <f>Сун!C11</f>
        <v>0</v>
      </c>
      <c r="V15" s="397">
        <f>Сун!D11</f>
        <v>-59.423459999999999</v>
      </c>
      <c r="W15" s="184" t="e">
        <f t="shared" ref="W15:W29" si="20">V15/U15*100</f>
        <v>#DIV/0!</v>
      </c>
      <c r="X15" s="195">
        <f>Сун!C13</f>
        <v>40</v>
      </c>
      <c r="Y15" s="195">
        <f>Сун!D13</f>
        <v>23.733529999999998</v>
      </c>
      <c r="Z15" s="187">
        <f t="shared" ref="Z15:Z29" si="21">Y15/X15*100</f>
        <v>59.333824999999997</v>
      </c>
      <c r="AA15" s="195">
        <f>Сун!C15</f>
        <v>495</v>
      </c>
      <c r="AB15" s="195">
        <f>Сун!D15</f>
        <v>1006.23966</v>
      </c>
      <c r="AC15" s="187">
        <f t="shared" ref="AC15:AC29" si="22">AB15/AA15*100</f>
        <v>203.2807393939394</v>
      </c>
      <c r="AD15" s="195">
        <f>Сун!C16</f>
        <v>1250</v>
      </c>
      <c r="AE15" s="195">
        <f>Сун!D16</f>
        <v>1135.81161</v>
      </c>
      <c r="AF15" s="187">
        <f t="shared" si="4"/>
        <v>90.864928800000001</v>
      </c>
      <c r="AG15" s="187">
        <f>Сун!C18</f>
        <v>12</v>
      </c>
      <c r="AH15" s="187">
        <f>Сун!D18</f>
        <v>15.975</v>
      </c>
      <c r="AI15" s="187">
        <f t="shared" ref="AI15:AI31" si="23">AH15/AG15*100</f>
        <v>133.125</v>
      </c>
      <c r="AJ15" s="187"/>
      <c r="AK15" s="187"/>
      <c r="AL15" s="187" t="e">
        <f t="shared" si="5"/>
        <v>#DIV/0!</v>
      </c>
      <c r="AM15" s="195">
        <f>Сун!C27</f>
        <v>0</v>
      </c>
      <c r="AN15" s="195">
        <f>Сун!D27</f>
        <v>0</v>
      </c>
      <c r="AO15" s="187" t="e">
        <f t="shared" si="6"/>
        <v>#DIV/0!</v>
      </c>
      <c r="AP15" s="195">
        <f>Сун!C28</f>
        <v>200</v>
      </c>
      <c r="AQ15" s="435">
        <f>Сун!D28</f>
        <v>267.2</v>
      </c>
      <c r="AR15" s="187">
        <f t="shared" ref="AR15:AR29" si="24">AQ15/AP15*100</f>
        <v>133.6</v>
      </c>
      <c r="AS15" s="188">
        <f>Сун!C29</f>
        <v>86</v>
      </c>
      <c r="AT15" s="395">
        <f>Сун!D29</f>
        <v>48.566000000000003</v>
      </c>
      <c r="AU15" s="187">
        <f t="shared" ref="AU15:AU29" si="25">AT15/AS15*100</f>
        <v>56.472093023255823</v>
      </c>
      <c r="AV15" s="195"/>
      <c r="AW15" s="195"/>
      <c r="AX15" s="187" t="e">
        <f t="shared" ref="AX15:AX29" si="26">AW15/AV15*100</f>
        <v>#DIV/0!</v>
      </c>
      <c r="AY15" s="187">
        <f>Сун!C31</f>
        <v>200</v>
      </c>
      <c r="AZ15" s="187">
        <f>Сун!D31</f>
        <v>205.41467</v>
      </c>
      <c r="BA15" s="187">
        <f t="shared" ref="BA15:BA31" si="27">AZ15/AY15*100</f>
        <v>102.707335</v>
      </c>
      <c r="BB15" s="187"/>
      <c r="BC15" s="187"/>
      <c r="BD15" s="187"/>
      <c r="BE15" s="187">
        <f>Сун!C32</f>
        <v>586</v>
      </c>
      <c r="BF15" s="187">
        <f>Сун!D32</f>
        <v>591.20000000000005</v>
      </c>
      <c r="BG15" s="187">
        <f t="shared" ref="BG15:BG31" si="28">BF15/BE15*100</f>
        <v>100.88737201365188</v>
      </c>
      <c r="BH15" s="187"/>
      <c r="BI15" s="187"/>
      <c r="BJ15" s="187" t="e">
        <f t="shared" ref="BJ15:BJ29" si="29">BI15/BH15*100</f>
        <v>#DIV/0!</v>
      </c>
      <c r="BK15" s="187">
        <f>Сун!C35</f>
        <v>0</v>
      </c>
      <c r="BL15" s="187">
        <f>Сун!D35</f>
        <v>0</v>
      </c>
      <c r="BM15" s="187"/>
      <c r="BN15" s="187">
        <f>Сун!C35</f>
        <v>0</v>
      </c>
      <c r="BO15" s="358">
        <f>Сун!D35</f>
        <v>0</v>
      </c>
      <c r="BP15" s="187" t="e">
        <f t="shared" ref="BP15:BP29" si="30">BO15/BN15*100</f>
        <v>#DIV/0!</v>
      </c>
      <c r="BQ15" s="187">
        <f>Сун!C37</f>
        <v>0</v>
      </c>
      <c r="BR15" s="187">
        <f>Сун!D37</f>
        <v>0</v>
      </c>
      <c r="BS15" s="187" t="e">
        <f t="shared" ref="BS15:BS29" si="31">BR15/BQ15*100</f>
        <v>#DIV/0!</v>
      </c>
      <c r="BT15" s="187"/>
      <c r="BU15" s="187"/>
      <c r="BV15" s="196" t="e">
        <f t="shared" ref="BV15:BV29" si="32">BT15/BU15*100</f>
        <v>#DIV/0!</v>
      </c>
      <c r="BW15" s="196"/>
      <c r="BX15" s="196"/>
      <c r="BY15" s="196" t="e">
        <f t="shared" ref="BY15:BY29" si="33">BW15/BX15*100</f>
        <v>#DIV/0!</v>
      </c>
      <c r="BZ15" s="186">
        <f t="shared" ref="BZ15:BZ29" si="34">CC15+CF15+CI15+CL15+CR15+CO15</f>
        <v>6483.3090000000002</v>
      </c>
      <c r="CA15" s="186">
        <f t="shared" ref="CA15:CA29" si="35">CD15+CG15+CJ15+CM15+CS15+CP15+CV15</f>
        <v>6483.3069700000005</v>
      </c>
      <c r="CB15" s="187">
        <f>CA15/BZ15*100</f>
        <v>99.999968688828503</v>
      </c>
      <c r="CC15" s="187">
        <f>Сун!C42</f>
        <v>3556.511</v>
      </c>
      <c r="CD15" s="187">
        <f>Сун!D42</f>
        <v>3556.511</v>
      </c>
      <c r="CE15" s="187">
        <f t="shared" ref="CE15:CE29" si="36">CD15/CC15*100</f>
        <v>100</v>
      </c>
      <c r="CF15" s="187">
        <f>Сун!C43</f>
        <v>0</v>
      </c>
      <c r="CG15" s="187">
        <f>Сун!D43</f>
        <v>0</v>
      </c>
      <c r="CH15" s="187" t="e">
        <f t="shared" ref="CH15:CH29" si="37">CG15/CF15*100</f>
        <v>#DIV/0!</v>
      </c>
      <c r="CI15" s="237">
        <f>Сун!C44</f>
        <v>2343.0859999999998</v>
      </c>
      <c r="CJ15" s="187">
        <f>Сун!D44</f>
        <v>2343.0859999999998</v>
      </c>
      <c r="CK15" s="187">
        <f t="shared" si="7"/>
        <v>100</v>
      </c>
      <c r="CL15" s="187">
        <f>Сун!C46</f>
        <v>174.10900000000001</v>
      </c>
      <c r="CM15" s="187">
        <f>Сун!D46</f>
        <v>174.10900000000001</v>
      </c>
      <c r="CN15" s="187">
        <f t="shared" si="8"/>
        <v>100</v>
      </c>
      <c r="CO15" s="187">
        <f>Сун!C47</f>
        <v>0</v>
      </c>
      <c r="CP15" s="187">
        <f>Сун!D47</f>
        <v>0</v>
      </c>
      <c r="CQ15" s="187" t="e">
        <f>CP15/CO15*100</f>
        <v>#DIV/0!</v>
      </c>
      <c r="CR15" s="187">
        <f>Сун!C48</f>
        <v>409.60300000000001</v>
      </c>
      <c r="CS15" s="187">
        <f>Сун!D48</f>
        <v>409.60097000000002</v>
      </c>
      <c r="CT15" s="187">
        <f t="shared" si="9"/>
        <v>99.99950439816115</v>
      </c>
      <c r="CU15" s="187"/>
      <c r="CV15" s="187"/>
      <c r="CW15" s="187"/>
      <c r="CX15" s="195"/>
      <c r="CY15" s="195"/>
      <c r="CZ15" s="187" t="e">
        <f t="shared" ref="CZ15:CZ29" si="38">CY15/CX15*100</f>
        <v>#DIV/0!</v>
      </c>
      <c r="DA15" s="187"/>
      <c r="DB15" s="187"/>
      <c r="DC15" s="187"/>
      <c r="DD15" s="187"/>
      <c r="DE15" s="187"/>
      <c r="DF15" s="187"/>
      <c r="DG15" s="195">
        <f>DJ15+DY15+EB15+EE15+EH15+EK15+EN15+EQ15+ET15</f>
        <v>10538.922780000001</v>
      </c>
      <c r="DH15" s="195">
        <f t="shared" ref="DG15:DH29" si="39">DK15+DZ15+EC15+EF15+EI15+EL15+EO15+ER15+EU15</f>
        <v>9835.2553699999989</v>
      </c>
      <c r="DI15" s="187">
        <f t="shared" ref="DI15:DI29" si="40">DH15/DG15*100</f>
        <v>93.323156221095289</v>
      </c>
      <c r="DJ15" s="195">
        <f>DM15+DP15+DS15+DV15</f>
        <v>1883.0240000000001</v>
      </c>
      <c r="DK15" s="195">
        <f t="shared" ref="DJ15:DK29" si="41">DN15+DQ15+DT15+DW15</f>
        <v>1729.4052799999999</v>
      </c>
      <c r="DL15" s="187">
        <f t="shared" ref="DL15:DL29" si="42">DK15/DJ15*100</f>
        <v>91.841913857709727</v>
      </c>
      <c r="DM15" s="187">
        <f>Сун!C59</f>
        <v>1871.9570000000001</v>
      </c>
      <c r="DN15" s="187">
        <f>Сун!D59</f>
        <v>1723.3382799999999</v>
      </c>
      <c r="DO15" s="187">
        <f t="shared" ref="DO15:DO29" si="43">DN15/DM15*100</f>
        <v>92.060783447483033</v>
      </c>
      <c r="DP15" s="187">
        <f>Сун!C62</f>
        <v>0</v>
      </c>
      <c r="DQ15" s="187">
        <f>Сун!D62</f>
        <v>0</v>
      </c>
      <c r="DR15" s="187" t="e">
        <f t="shared" ref="DR15:DR29" si="44">DQ15/DP15*100</f>
        <v>#DIV/0!</v>
      </c>
      <c r="DS15" s="187">
        <f>Сун!C63</f>
        <v>5</v>
      </c>
      <c r="DT15" s="187">
        <f>Сун!D63</f>
        <v>0</v>
      </c>
      <c r="DU15" s="187">
        <f t="shared" ref="DU15:DU29" si="45">DT15/DS15*100</f>
        <v>0</v>
      </c>
      <c r="DV15" s="187">
        <f>Сун!C64</f>
        <v>6.0670000000000002</v>
      </c>
      <c r="DW15" s="187">
        <f>Сун!D64</f>
        <v>6.0670000000000002</v>
      </c>
      <c r="DX15" s="187">
        <f t="shared" ref="DX15:DX29" si="46">DW15/DV15*100</f>
        <v>100</v>
      </c>
      <c r="DY15" s="187">
        <f>Сун!C66</f>
        <v>170.749</v>
      </c>
      <c r="DZ15" s="187">
        <f>Сун!D66</f>
        <v>170.749</v>
      </c>
      <c r="EA15" s="187">
        <f t="shared" ref="EA15:EA31" si="47">DZ15/DY15*100</f>
        <v>100</v>
      </c>
      <c r="EB15" s="187">
        <f>Сун!C67</f>
        <v>4.8029999999999999</v>
      </c>
      <c r="EC15" s="187">
        <f>Сун!D67</f>
        <v>2.80287</v>
      </c>
      <c r="ED15" s="187">
        <f t="shared" ref="ED15:ED31" si="48">EC15/EB15*100</f>
        <v>58.356652092442218</v>
      </c>
      <c r="EE15" s="195">
        <f>Сун!C72</f>
        <v>3739.5487799999996</v>
      </c>
      <c r="EF15" s="195">
        <f>Сун!D72</f>
        <v>3345.8598699999998</v>
      </c>
      <c r="EG15" s="187">
        <f t="shared" ref="EG15:EG29" si="49">EF15/EE15*100</f>
        <v>89.472288418711315</v>
      </c>
      <c r="EH15" s="195">
        <f>Сун!C77</f>
        <v>951.35</v>
      </c>
      <c r="EI15" s="195">
        <f>Сун!D77</f>
        <v>896.45231999999999</v>
      </c>
      <c r="EJ15" s="187">
        <f t="shared" ref="EJ15:EJ29" si="50">EI15/EH15*100</f>
        <v>94.229497030535541</v>
      </c>
      <c r="EK15" s="195">
        <f>Сун!C82</f>
        <v>3764.4479999999999</v>
      </c>
      <c r="EL15" s="197">
        <f>Сун!D82</f>
        <v>3669.38103</v>
      </c>
      <c r="EM15" s="187">
        <f t="shared" si="10"/>
        <v>97.474610620202483</v>
      </c>
      <c r="EN15" s="187">
        <f>Сун!C85</f>
        <v>5</v>
      </c>
      <c r="EO15" s="187">
        <f>Сун!D85</f>
        <v>5</v>
      </c>
      <c r="EP15" s="187">
        <f t="shared" si="11"/>
        <v>100</v>
      </c>
      <c r="EQ15" s="198">
        <f>Сун!C90</f>
        <v>20</v>
      </c>
      <c r="ER15" s="198">
        <f>Сун!D90</f>
        <v>15.605</v>
      </c>
      <c r="ES15" s="187">
        <f t="shared" ref="ES15:ES29" si="51">ER15/EQ15*100</f>
        <v>78.025000000000006</v>
      </c>
      <c r="ET15" s="187">
        <f>Сун!C96</f>
        <v>0</v>
      </c>
      <c r="EU15" s="187">
        <f>Сун!D96</f>
        <v>0</v>
      </c>
      <c r="EV15" s="184" t="e">
        <f>EU15/ET15*100</f>
        <v>#DIV/0!</v>
      </c>
      <c r="EW15" s="191">
        <f t="shared" si="12"/>
        <v>-101.57055000000037</v>
      </c>
      <c r="EX15" s="191">
        <f t="shared" si="13"/>
        <v>949.44489000000249</v>
      </c>
      <c r="EY15" s="184">
        <f>EX15/EW15*100%</f>
        <v>-9.3476395470931202</v>
      </c>
      <c r="EZ15" s="192"/>
      <c r="FA15" s="193"/>
      <c r="FC15" s="193"/>
    </row>
    <row r="16" spans="1:159" s="169" customFormat="1" ht="15" customHeight="1">
      <c r="A16" s="181">
        <v>3</v>
      </c>
      <c r="B16" s="194" t="s">
        <v>306</v>
      </c>
      <c r="C16" s="448">
        <f t="shared" si="14"/>
        <v>11376.010240000001</v>
      </c>
      <c r="D16" s="448">
        <f t="shared" si="0"/>
        <v>11699.83454</v>
      </c>
      <c r="E16" s="187">
        <f t="shared" si="1"/>
        <v>102.84655422391742</v>
      </c>
      <c r="F16" s="185">
        <f t="shared" si="2"/>
        <v>1832.3034700000001</v>
      </c>
      <c r="G16" s="185">
        <f t="shared" si="3"/>
        <v>1962.0156899999995</v>
      </c>
      <c r="H16" s="187">
        <f t="shared" si="15"/>
        <v>107.07918868919674</v>
      </c>
      <c r="I16" s="291">
        <f>Иль!C6</f>
        <v>102.1</v>
      </c>
      <c r="J16" s="291">
        <f>Иль!D6</f>
        <v>89.225520000000003</v>
      </c>
      <c r="K16" s="187">
        <f t="shared" si="16"/>
        <v>87.390323212536742</v>
      </c>
      <c r="L16" s="187">
        <f>Иль!C8</f>
        <v>222.96</v>
      </c>
      <c r="M16" s="187">
        <f>Иль!D8</f>
        <v>283.43680999999998</v>
      </c>
      <c r="N16" s="184">
        <f t="shared" si="17"/>
        <v>127.12451112307139</v>
      </c>
      <c r="O16" s="184">
        <f>Иль!C9</f>
        <v>2.4</v>
      </c>
      <c r="P16" s="184">
        <f>Иль!D9</f>
        <v>2.7296800000000001</v>
      </c>
      <c r="Q16" s="184">
        <f t="shared" si="18"/>
        <v>113.73666666666668</v>
      </c>
      <c r="R16" s="184">
        <f>Иль!C10</f>
        <v>401.44346999999999</v>
      </c>
      <c r="S16" s="184">
        <f>Иль!D10</f>
        <v>413.46798000000001</v>
      </c>
      <c r="T16" s="184">
        <f t="shared" si="19"/>
        <v>102.99531836948302</v>
      </c>
      <c r="U16" s="184">
        <f>Иль!C11</f>
        <v>0</v>
      </c>
      <c r="V16" s="397">
        <f>Иль!D11</f>
        <v>-63.505920000000003</v>
      </c>
      <c r="W16" s="184" t="e">
        <f t="shared" si="20"/>
        <v>#DIV/0!</v>
      </c>
      <c r="X16" s="195">
        <f>Иль!C13</f>
        <v>10</v>
      </c>
      <c r="Y16" s="195">
        <f>Иль!D13</f>
        <v>3.5836100000000002</v>
      </c>
      <c r="Z16" s="187">
        <f t="shared" si="21"/>
        <v>35.836100000000002</v>
      </c>
      <c r="AA16" s="195">
        <f>Иль!C15</f>
        <v>183.4</v>
      </c>
      <c r="AB16" s="195">
        <f>Иль!D15</f>
        <v>222.22174999999999</v>
      </c>
      <c r="AC16" s="187">
        <f t="shared" si="22"/>
        <v>121.16780261723008</v>
      </c>
      <c r="AD16" s="195">
        <f>Иль!C16</f>
        <v>785</v>
      </c>
      <c r="AE16" s="195">
        <f>Иль!D16</f>
        <v>742.63441</v>
      </c>
      <c r="AF16" s="187">
        <f t="shared" si="4"/>
        <v>94.603109554140133</v>
      </c>
      <c r="AG16" s="187">
        <f>Иль!C18</f>
        <v>5</v>
      </c>
      <c r="AH16" s="187">
        <f>Иль!D18</f>
        <v>6.2</v>
      </c>
      <c r="AI16" s="187">
        <f t="shared" si="23"/>
        <v>124</v>
      </c>
      <c r="AJ16" s="187"/>
      <c r="AK16" s="187"/>
      <c r="AL16" s="187" t="e">
        <f t="shared" si="5"/>
        <v>#DIV/0!</v>
      </c>
      <c r="AM16" s="195">
        <f>Иль!C27</f>
        <v>0</v>
      </c>
      <c r="AN16" s="195">
        <f>Иль!D27</f>
        <v>0</v>
      </c>
      <c r="AO16" s="187" t="e">
        <f t="shared" si="6"/>
        <v>#DIV/0!</v>
      </c>
      <c r="AP16" s="195">
        <f>Иль!C28</f>
        <v>100</v>
      </c>
      <c r="AQ16" s="435">
        <f>Иль!D28</f>
        <v>231.42005</v>
      </c>
      <c r="AR16" s="187">
        <f t="shared" si="24"/>
        <v>231.42005</v>
      </c>
      <c r="AS16" s="188">
        <f>Иль!C29</f>
        <v>20</v>
      </c>
      <c r="AT16" s="395">
        <f>Иль!D29</f>
        <v>30.601800000000001</v>
      </c>
      <c r="AU16" s="187">
        <f t="shared" si="25"/>
        <v>153.00899999999999</v>
      </c>
      <c r="AV16" s="195"/>
      <c r="AW16" s="195"/>
      <c r="AX16" s="187" t="e">
        <f t="shared" si="26"/>
        <v>#DIV/0!</v>
      </c>
      <c r="AY16" s="187"/>
      <c r="AZ16" s="187"/>
      <c r="BA16" s="187" t="e">
        <f t="shared" si="27"/>
        <v>#DIV/0!</v>
      </c>
      <c r="BB16" s="187"/>
      <c r="BC16" s="187"/>
      <c r="BD16" s="187"/>
      <c r="BE16" s="187">
        <f>Иль!C34</f>
        <v>0</v>
      </c>
      <c r="BF16" s="187">
        <f>Иль!D34</f>
        <v>0</v>
      </c>
      <c r="BG16" s="187" t="e">
        <f t="shared" si="28"/>
        <v>#DIV/0!</v>
      </c>
      <c r="BH16" s="187"/>
      <c r="BI16" s="187"/>
      <c r="BJ16" s="187" t="e">
        <f t="shared" si="29"/>
        <v>#DIV/0!</v>
      </c>
      <c r="BK16" s="187"/>
      <c r="BL16" s="187"/>
      <c r="BM16" s="187"/>
      <c r="BN16" s="187"/>
      <c r="BO16" s="358">
        <f>Иль!D35</f>
        <v>0</v>
      </c>
      <c r="BP16" s="187" t="e">
        <f t="shared" si="30"/>
        <v>#DIV/0!</v>
      </c>
      <c r="BQ16" s="187">
        <v>0</v>
      </c>
      <c r="BR16" s="187">
        <f>Иль!D37</f>
        <v>0</v>
      </c>
      <c r="BS16" s="187" t="e">
        <f t="shared" si="31"/>
        <v>#DIV/0!</v>
      </c>
      <c r="BT16" s="187"/>
      <c r="BU16" s="187"/>
      <c r="BV16" s="196" t="e">
        <f t="shared" si="32"/>
        <v>#DIV/0!</v>
      </c>
      <c r="BW16" s="196"/>
      <c r="BX16" s="196"/>
      <c r="BY16" s="196" t="e">
        <f t="shared" si="33"/>
        <v>#DIV/0!</v>
      </c>
      <c r="BZ16" s="186">
        <f t="shared" si="34"/>
        <v>9543.7067700000007</v>
      </c>
      <c r="CA16" s="186">
        <f t="shared" si="35"/>
        <v>9737.8188499999997</v>
      </c>
      <c r="CB16" s="187">
        <f>CA16/BZ16*100</f>
        <v>102.03392753652255</v>
      </c>
      <c r="CC16" s="187">
        <f>Иль!C42</f>
        <v>1972.912</v>
      </c>
      <c r="CD16" s="187">
        <f>Иль!D42</f>
        <v>1972.912</v>
      </c>
      <c r="CE16" s="187">
        <f t="shared" si="36"/>
        <v>100</v>
      </c>
      <c r="CF16" s="187">
        <f>Иль!C43</f>
        <v>570</v>
      </c>
      <c r="CG16" s="187">
        <f>Иль!D43</f>
        <v>570</v>
      </c>
      <c r="CH16" s="187">
        <f t="shared" si="37"/>
        <v>100</v>
      </c>
      <c r="CI16" s="184">
        <f>Иль!C44</f>
        <v>6713.3637699999999</v>
      </c>
      <c r="CJ16" s="187">
        <f>Иль!D44</f>
        <v>6710.4758499999998</v>
      </c>
      <c r="CK16" s="187">
        <f t="shared" si="7"/>
        <v>99.95698251876496</v>
      </c>
      <c r="CL16" s="187">
        <f>Иль!C46</f>
        <v>174.108</v>
      </c>
      <c r="CM16" s="187">
        <f>Иль!D46</f>
        <v>174.108</v>
      </c>
      <c r="CN16" s="187">
        <f t="shared" si="8"/>
        <v>100</v>
      </c>
      <c r="CO16" s="187">
        <f>Иль!C47</f>
        <v>0</v>
      </c>
      <c r="CP16" s="187">
        <f>Иль!D47</f>
        <v>0</v>
      </c>
      <c r="CQ16" s="187"/>
      <c r="CR16" s="187">
        <f>Иль!C51</f>
        <v>113.32299999999999</v>
      </c>
      <c r="CS16" s="187">
        <f>Иль!D51</f>
        <v>310.32299999999998</v>
      </c>
      <c r="CT16" s="187">
        <f t="shared" si="9"/>
        <v>273.83937947283431</v>
      </c>
      <c r="CU16" s="187"/>
      <c r="CV16" s="187"/>
      <c r="CW16" s="187"/>
      <c r="CX16" s="195"/>
      <c r="CY16" s="195"/>
      <c r="CZ16" s="187" t="e">
        <f t="shared" si="38"/>
        <v>#DIV/0!</v>
      </c>
      <c r="DA16" s="187"/>
      <c r="DB16" s="187"/>
      <c r="DC16" s="187"/>
      <c r="DD16" s="187"/>
      <c r="DE16" s="187"/>
      <c r="DF16" s="187">
        <v>0</v>
      </c>
      <c r="DG16" s="195">
        <f t="shared" si="39"/>
        <v>11486.82886</v>
      </c>
      <c r="DH16" s="195">
        <f t="shared" si="39"/>
        <v>11296.72171</v>
      </c>
      <c r="DI16" s="187">
        <f t="shared" si="40"/>
        <v>98.344998847662822</v>
      </c>
      <c r="DJ16" s="195">
        <f t="shared" si="41"/>
        <v>1365.6579999999999</v>
      </c>
      <c r="DK16" s="195">
        <f t="shared" si="41"/>
        <v>1317.3251499999999</v>
      </c>
      <c r="DL16" s="187">
        <f t="shared" si="42"/>
        <v>96.460837925747143</v>
      </c>
      <c r="DM16" s="187">
        <f>Иль!C59</f>
        <v>1331.9749999999999</v>
      </c>
      <c r="DN16" s="187">
        <f>Иль!D59</f>
        <v>1292.29665</v>
      </c>
      <c r="DO16" s="187">
        <f t="shared" si="43"/>
        <v>97.021088984402866</v>
      </c>
      <c r="DP16" s="187">
        <f>Иль!C62</f>
        <v>0</v>
      </c>
      <c r="DQ16" s="187">
        <f>Иль!D62</f>
        <v>0</v>
      </c>
      <c r="DR16" s="187" t="e">
        <f t="shared" si="44"/>
        <v>#DIV/0!</v>
      </c>
      <c r="DS16" s="187">
        <f>Иль!C63</f>
        <v>5</v>
      </c>
      <c r="DT16" s="187">
        <f>Иль!D63</f>
        <v>0</v>
      </c>
      <c r="DU16" s="187">
        <f t="shared" si="45"/>
        <v>0</v>
      </c>
      <c r="DV16" s="187">
        <f>Иль!C64</f>
        <v>28.683</v>
      </c>
      <c r="DW16" s="187">
        <f>Иль!D64</f>
        <v>25.028500000000001</v>
      </c>
      <c r="DX16" s="187">
        <f t="shared" si="46"/>
        <v>87.25900359097723</v>
      </c>
      <c r="DY16" s="187">
        <f>Иль!C66</f>
        <v>170.749</v>
      </c>
      <c r="DZ16" s="187">
        <f>Иль!D66</f>
        <v>170.749</v>
      </c>
      <c r="EA16" s="187">
        <f t="shared" si="47"/>
        <v>100</v>
      </c>
      <c r="EB16" s="187">
        <f>Иль!C67</f>
        <v>32.86692</v>
      </c>
      <c r="EC16" s="187">
        <f>Иль!D67</f>
        <v>26.933920000000001</v>
      </c>
      <c r="ED16" s="187">
        <f t="shared" si="48"/>
        <v>81.948415002075038</v>
      </c>
      <c r="EE16" s="195">
        <f>Иль!C73</f>
        <v>2160.9909000000002</v>
      </c>
      <c r="EF16" s="195">
        <f>Иль!D73</f>
        <v>2083.4667800000002</v>
      </c>
      <c r="EG16" s="187">
        <f t="shared" si="49"/>
        <v>96.412566105669399</v>
      </c>
      <c r="EH16" s="195">
        <f>Иль!C80</f>
        <v>6389.1640399999997</v>
      </c>
      <c r="EI16" s="195">
        <f>Иль!D80</f>
        <v>6331.8468599999997</v>
      </c>
      <c r="EJ16" s="187">
        <f t="shared" si="50"/>
        <v>99.102900165950345</v>
      </c>
      <c r="EK16" s="195">
        <f>Иль!C84</f>
        <v>1357.4</v>
      </c>
      <c r="EL16" s="197">
        <f>Иль!D84</f>
        <v>1356.4</v>
      </c>
      <c r="EM16" s="187">
        <f t="shared" si="10"/>
        <v>99.926329748047735</v>
      </c>
      <c r="EN16" s="187">
        <f>Иль!C86</f>
        <v>0</v>
      </c>
      <c r="EO16" s="187">
        <f>Иль!D86</f>
        <v>0</v>
      </c>
      <c r="EP16" s="187" t="e">
        <f t="shared" si="11"/>
        <v>#DIV/0!</v>
      </c>
      <c r="EQ16" s="198">
        <f>Иль!C91</f>
        <v>10</v>
      </c>
      <c r="ER16" s="198">
        <f>Иль!D91</f>
        <v>10</v>
      </c>
      <c r="ES16" s="187">
        <f t="shared" si="51"/>
        <v>100</v>
      </c>
      <c r="ET16" s="187">
        <f>Иль!C97</f>
        <v>0</v>
      </c>
      <c r="EU16" s="187">
        <f>Иль!D97</f>
        <v>0</v>
      </c>
      <c r="EV16" s="184" t="e">
        <f t="shared" ref="EV16:EV29" si="52">EU16/ET16*100</f>
        <v>#DIV/0!</v>
      </c>
      <c r="EW16" s="191">
        <f t="shared" si="12"/>
        <v>-110.81861999999819</v>
      </c>
      <c r="EX16" s="191">
        <f t="shared" si="13"/>
        <v>403.11283000000003</v>
      </c>
      <c r="EY16" s="184">
        <f>EX16/EW16*100</f>
        <v>-363.75911376626652</v>
      </c>
      <c r="EZ16" s="192"/>
      <c r="FA16" s="193"/>
      <c r="FC16" s="193"/>
    </row>
    <row r="17" spans="1:170" s="169" customFormat="1" ht="15" customHeight="1">
      <c r="A17" s="181">
        <v>4</v>
      </c>
      <c r="B17" s="194" t="s">
        <v>307</v>
      </c>
      <c r="C17" s="448">
        <f t="shared" si="14"/>
        <v>7011.287980000001</v>
      </c>
      <c r="D17" s="448">
        <f t="shared" si="0"/>
        <v>7178.6517499999991</v>
      </c>
      <c r="E17" s="187">
        <f t="shared" si="1"/>
        <v>102.38706169932559</v>
      </c>
      <c r="F17" s="185">
        <f t="shared" si="2"/>
        <v>4238.8600000000006</v>
      </c>
      <c r="G17" s="185">
        <f t="shared" si="3"/>
        <v>4050.0257499999993</v>
      </c>
      <c r="H17" s="187">
        <f t="shared" si="15"/>
        <v>95.545164265863903</v>
      </c>
      <c r="I17" s="195">
        <f>Кад!C6</f>
        <v>456.3</v>
      </c>
      <c r="J17" s="195">
        <f>Кад!D6</f>
        <v>466.48282</v>
      </c>
      <c r="K17" s="187">
        <f t="shared" si="16"/>
        <v>102.23160639929871</v>
      </c>
      <c r="L17" s="187">
        <f>Кад!C8</f>
        <v>272.49</v>
      </c>
      <c r="M17" s="187">
        <f>Кад!D8</f>
        <v>338.09964000000002</v>
      </c>
      <c r="N17" s="184">
        <f t="shared" si="17"/>
        <v>124.0778156996587</v>
      </c>
      <c r="O17" s="184">
        <f>Кад!C9</f>
        <v>2.85</v>
      </c>
      <c r="P17" s="184">
        <f>Кад!D9</f>
        <v>3.2561300000000002</v>
      </c>
      <c r="Q17" s="184">
        <f t="shared" si="18"/>
        <v>114.2501754385965</v>
      </c>
      <c r="R17" s="184">
        <f>Кад!C10</f>
        <v>444.22</v>
      </c>
      <c r="S17" s="184">
        <f>Кад!D10</f>
        <v>493.20817</v>
      </c>
      <c r="T17" s="184">
        <f t="shared" si="19"/>
        <v>111.02790734320831</v>
      </c>
      <c r="U17" s="184">
        <f>Кад!C11</f>
        <v>0</v>
      </c>
      <c r="V17" s="397">
        <f>Кад!D11</f>
        <v>-75.753489999999999</v>
      </c>
      <c r="W17" s="184" t="e">
        <f t="shared" si="20"/>
        <v>#DIV/0!</v>
      </c>
      <c r="X17" s="195">
        <f>Кад!C13</f>
        <v>50</v>
      </c>
      <c r="Y17" s="195">
        <f>Кад!D13</f>
        <v>28.16273</v>
      </c>
      <c r="Z17" s="187">
        <f t="shared" si="21"/>
        <v>56.325460000000007</v>
      </c>
      <c r="AA17" s="195">
        <f>Кад!C15</f>
        <v>255</v>
      </c>
      <c r="AB17" s="195">
        <f>Кад!D15</f>
        <v>311.41969999999998</v>
      </c>
      <c r="AC17" s="187">
        <f t="shared" si="22"/>
        <v>122.1253725490196</v>
      </c>
      <c r="AD17" s="195">
        <f>Кад!C16</f>
        <v>2661</v>
      </c>
      <c r="AE17" s="195">
        <f>Кад!D16</f>
        <v>2655.6041700000001</v>
      </c>
      <c r="AF17" s="187">
        <f t="shared" si="4"/>
        <v>99.797225479143179</v>
      </c>
      <c r="AG17" s="187">
        <f>Кад!C18</f>
        <v>25</v>
      </c>
      <c r="AH17" s="187">
        <f>Кад!D18</f>
        <v>23.6</v>
      </c>
      <c r="AI17" s="187">
        <f t="shared" si="23"/>
        <v>94.4</v>
      </c>
      <c r="AJ17" s="187"/>
      <c r="AK17" s="187"/>
      <c r="AL17" s="187" t="e">
        <f t="shared" si="5"/>
        <v>#DIV/0!</v>
      </c>
      <c r="AM17" s="195">
        <v>0</v>
      </c>
      <c r="AN17" s="195">
        <v>0</v>
      </c>
      <c r="AO17" s="187" t="e">
        <f t="shared" si="6"/>
        <v>#DIV/0!</v>
      </c>
      <c r="AP17" s="195">
        <f>Кад!C27</f>
        <v>70</v>
      </c>
      <c r="AQ17" s="435">
        <f>Кад!D27</f>
        <v>-255.88718</v>
      </c>
      <c r="AR17" s="187">
        <f t="shared" si="24"/>
        <v>-365.55311428571429</v>
      </c>
      <c r="AS17" s="188">
        <f>Кад!C28</f>
        <v>2</v>
      </c>
      <c r="AT17" s="395">
        <f>Кад!D28</f>
        <v>11</v>
      </c>
      <c r="AU17" s="187">
        <f t="shared" si="25"/>
        <v>550</v>
      </c>
      <c r="AV17" s="195"/>
      <c r="AW17" s="195"/>
      <c r="AX17" s="187" t="e">
        <f t="shared" si="26"/>
        <v>#DIV/0!</v>
      </c>
      <c r="AY17" s="187">
        <f>Кад!C30</f>
        <v>0</v>
      </c>
      <c r="AZ17" s="187">
        <f>Кад!D30</f>
        <v>51.226059999999997</v>
      </c>
      <c r="BA17" s="187" t="e">
        <f t="shared" si="27"/>
        <v>#DIV/0!</v>
      </c>
      <c r="BB17" s="187"/>
      <c r="BC17" s="187"/>
      <c r="BD17" s="187"/>
      <c r="BE17" s="187">
        <f>Кад!C33</f>
        <v>0</v>
      </c>
      <c r="BF17" s="187">
        <f>Кад!D33</f>
        <v>0</v>
      </c>
      <c r="BG17" s="187" t="e">
        <f t="shared" si="28"/>
        <v>#DIV/0!</v>
      </c>
      <c r="BH17" s="187"/>
      <c r="BI17" s="187"/>
      <c r="BJ17" s="187" t="e">
        <f t="shared" si="29"/>
        <v>#DIV/0!</v>
      </c>
      <c r="BK17" s="187"/>
      <c r="BL17" s="187"/>
      <c r="BM17" s="187"/>
      <c r="BN17" s="187"/>
      <c r="BO17" s="358">
        <f>Кад!D34</f>
        <v>0</v>
      </c>
      <c r="BP17" s="187" t="e">
        <f t="shared" si="30"/>
        <v>#DIV/0!</v>
      </c>
      <c r="BQ17" s="187">
        <f>Кад!C36</f>
        <v>0</v>
      </c>
      <c r="BR17" s="187">
        <f>Кад!D36</f>
        <v>-0.39300000000000002</v>
      </c>
      <c r="BS17" s="187" t="e">
        <f t="shared" si="31"/>
        <v>#DIV/0!</v>
      </c>
      <c r="BT17" s="187"/>
      <c r="BU17" s="187"/>
      <c r="BV17" s="196" t="e">
        <f t="shared" si="32"/>
        <v>#DIV/0!</v>
      </c>
      <c r="BW17" s="196"/>
      <c r="BX17" s="196"/>
      <c r="BY17" s="196" t="e">
        <f t="shared" si="33"/>
        <v>#DIV/0!</v>
      </c>
      <c r="BZ17" s="186">
        <f t="shared" si="34"/>
        <v>2772.4279799999999</v>
      </c>
      <c r="CA17" s="186">
        <f t="shared" si="35"/>
        <v>3128.6260000000002</v>
      </c>
      <c r="CB17" s="187">
        <f>CA17/BZ17*100</f>
        <v>112.8478727876639</v>
      </c>
      <c r="CC17" s="187">
        <f>Кад!C41</f>
        <v>1128.914</v>
      </c>
      <c r="CD17" s="187">
        <f>Кад!D41</f>
        <v>1128.914</v>
      </c>
      <c r="CE17" s="187">
        <f t="shared" si="36"/>
        <v>100</v>
      </c>
      <c r="CF17" s="187">
        <f>Кад!C42</f>
        <v>0</v>
      </c>
      <c r="CG17" s="187">
        <f>Кад!D42</f>
        <v>0</v>
      </c>
      <c r="CH17" s="187" t="e">
        <f t="shared" si="37"/>
        <v>#DIV/0!</v>
      </c>
      <c r="CI17" s="184">
        <f>Кад!C43</f>
        <v>1215.7209800000001</v>
      </c>
      <c r="CJ17" s="187">
        <f>Кад!D43</f>
        <v>1215.6990000000001</v>
      </c>
      <c r="CK17" s="187">
        <f t="shared" si="7"/>
        <v>99.998192019356281</v>
      </c>
      <c r="CL17" s="187">
        <f>Кад!C45</f>
        <v>177.46700000000001</v>
      </c>
      <c r="CM17" s="187">
        <f>Кад!D45</f>
        <v>177.46700000000001</v>
      </c>
      <c r="CN17" s="187">
        <f t="shared" si="8"/>
        <v>100</v>
      </c>
      <c r="CO17" s="187"/>
      <c r="CP17" s="187"/>
      <c r="CQ17" s="187"/>
      <c r="CR17" s="187">
        <f>Кад!C47</f>
        <v>250.32599999999999</v>
      </c>
      <c r="CS17" s="187">
        <f>Кад!D47</f>
        <v>606.54600000000005</v>
      </c>
      <c r="CT17" s="187">
        <f t="shared" si="9"/>
        <v>242.3024376213418</v>
      </c>
      <c r="CU17" s="187"/>
      <c r="CV17" s="187"/>
      <c r="CW17" s="187"/>
      <c r="CX17" s="195"/>
      <c r="CY17" s="195"/>
      <c r="CZ17" s="187" t="e">
        <f t="shared" si="38"/>
        <v>#DIV/0!</v>
      </c>
      <c r="DA17" s="187"/>
      <c r="DB17" s="187"/>
      <c r="DC17" s="187"/>
      <c r="DD17" s="187"/>
      <c r="DE17" s="187"/>
      <c r="DF17" s="187"/>
      <c r="DG17" s="195">
        <f t="shared" si="39"/>
        <v>7688.1216800000002</v>
      </c>
      <c r="DH17" s="195">
        <f t="shared" si="39"/>
        <v>7440.2731899999999</v>
      </c>
      <c r="DI17" s="187">
        <f t="shared" si="40"/>
        <v>96.776215305686989</v>
      </c>
      <c r="DJ17" s="195">
        <f t="shared" si="41"/>
        <v>1629.2279999999998</v>
      </c>
      <c r="DK17" s="195">
        <f t="shared" si="41"/>
        <v>1598.3935200000001</v>
      </c>
      <c r="DL17" s="187">
        <f t="shared" si="42"/>
        <v>98.107417746319129</v>
      </c>
      <c r="DM17" s="187">
        <f>Кад!C57</f>
        <v>1619.0419999999999</v>
      </c>
      <c r="DN17" s="187">
        <f>Кад!D57</f>
        <v>1593.2865200000001</v>
      </c>
      <c r="DO17" s="187">
        <f t="shared" si="43"/>
        <v>98.40921483198089</v>
      </c>
      <c r="DP17" s="187">
        <f>Кад!C60</f>
        <v>0</v>
      </c>
      <c r="DQ17" s="187">
        <f>Кад!D60</f>
        <v>0</v>
      </c>
      <c r="DR17" s="187" t="e">
        <f t="shared" si="44"/>
        <v>#DIV/0!</v>
      </c>
      <c r="DS17" s="187">
        <f>Кад!C61</f>
        <v>5</v>
      </c>
      <c r="DT17" s="187">
        <f>Кад!D61</f>
        <v>0</v>
      </c>
      <c r="DU17" s="187">
        <f t="shared" si="45"/>
        <v>0</v>
      </c>
      <c r="DV17" s="187">
        <f>Кад!C62</f>
        <v>5.1859999999999999</v>
      </c>
      <c r="DW17" s="187">
        <f>Кад!D62</f>
        <v>5.1070000000000002</v>
      </c>
      <c r="DX17" s="187">
        <f t="shared" si="46"/>
        <v>98.476667952178957</v>
      </c>
      <c r="DY17" s="187">
        <f>Кад!C64</f>
        <v>170.749</v>
      </c>
      <c r="DZ17" s="187">
        <f>Кад!D64</f>
        <v>170.749</v>
      </c>
      <c r="EA17" s="187">
        <f t="shared" si="47"/>
        <v>100</v>
      </c>
      <c r="EB17" s="187">
        <f>Кад!C65</f>
        <v>2.4</v>
      </c>
      <c r="EC17" s="187">
        <f>Кад!D65</f>
        <v>2.4</v>
      </c>
      <c r="ED17" s="187">
        <f t="shared" si="48"/>
        <v>100</v>
      </c>
      <c r="EE17" s="195">
        <f>Кад!C70</f>
        <v>2668.8626799999997</v>
      </c>
      <c r="EF17" s="195">
        <f>Кад!D70</f>
        <v>2629.53442</v>
      </c>
      <c r="EG17" s="187">
        <f t="shared" si="49"/>
        <v>98.526403763868444</v>
      </c>
      <c r="EH17" s="195">
        <f>Кад!C75</f>
        <v>1092.3820000000001</v>
      </c>
      <c r="EI17" s="195">
        <f>Кад!D75</f>
        <v>923.69624999999996</v>
      </c>
      <c r="EJ17" s="187">
        <f t="shared" si="50"/>
        <v>84.557988872024609</v>
      </c>
      <c r="EK17" s="195">
        <f>Кад!C79</f>
        <v>2124.5</v>
      </c>
      <c r="EL17" s="197">
        <f>Кад!D79</f>
        <v>2115.5</v>
      </c>
      <c r="EM17" s="187">
        <f t="shared" si="10"/>
        <v>99.576370910802538</v>
      </c>
      <c r="EN17" s="187">
        <f>Кад!C81</f>
        <v>0</v>
      </c>
      <c r="EO17" s="187">
        <f>Кад!D81</f>
        <v>0</v>
      </c>
      <c r="EP17" s="187" t="e">
        <f t="shared" si="11"/>
        <v>#DIV/0!</v>
      </c>
      <c r="EQ17" s="198">
        <f>Кад!C86</f>
        <v>0</v>
      </c>
      <c r="ER17" s="198">
        <f>Кад!D86</f>
        <v>0</v>
      </c>
      <c r="ES17" s="187" t="e">
        <f t="shared" si="51"/>
        <v>#DIV/0!</v>
      </c>
      <c r="ET17" s="187">
        <f>Кад!C92</f>
        <v>0</v>
      </c>
      <c r="EU17" s="187">
        <f>Кад!D92</f>
        <v>0</v>
      </c>
      <c r="EV17" s="184" t="e">
        <f t="shared" si="52"/>
        <v>#DIV/0!</v>
      </c>
      <c r="EW17" s="191">
        <f t="shared" si="12"/>
        <v>-676.83369999999923</v>
      </c>
      <c r="EX17" s="191">
        <f t="shared" si="13"/>
        <v>-261.6214400000008</v>
      </c>
      <c r="EY17" s="184">
        <f>EX17/EW17*100</f>
        <v>38.653725427679078</v>
      </c>
      <c r="EZ17" s="192"/>
      <c r="FA17" s="193"/>
      <c r="FC17" s="193"/>
    </row>
    <row r="18" spans="1:170" s="234" customFormat="1" ht="15" customHeight="1">
      <c r="A18" s="225">
        <v>5</v>
      </c>
      <c r="B18" s="226" t="s">
        <v>308</v>
      </c>
      <c r="C18" s="449">
        <f t="shared" si="14"/>
        <v>9235.7529999999988</v>
      </c>
      <c r="D18" s="449">
        <f t="shared" si="0"/>
        <v>9528.462389999997</v>
      </c>
      <c r="E18" s="227">
        <f t="shared" si="1"/>
        <v>103.1693072562681</v>
      </c>
      <c r="F18" s="228">
        <f t="shared" si="2"/>
        <v>4296.0099999999993</v>
      </c>
      <c r="G18" s="228">
        <f t="shared" si="3"/>
        <v>4586.9966999999988</v>
      </c>
      <c r="H18" s="227">
        <f t="shared" si="15"/>
        <v>106.77341765964231</v>
      </c>
      <c r="I18" s="292">
        <f>Мор!C6</f>
        <v>1624.2</v>
      </c>
      <c r="J18" s="292">
        <f>Мор!D6</f>
        <v>1824.11446</v>
      </c>
      <c r="K18" s="227">
        <f t="shared" si="16"/>
        <v>112.30848787095185</v>
      </c>
      <c r="L18" s="227">
        <f>Мор!C8</f>
        <v>130.59</v>
      </c>
      <c r="M18" s="227">
        <f>Мор!D8</f>
        <v>166.01299</v>
      </c>
      <c r="N18" s="227">
        <f t="shared" si="17"/>
        <v>127.12534650432652</v>
      </c>
      <c r="O18" s="227">
        <f>Мор!C9</f>
        <v>1.4</v>
      </c>
      <c r="P18" s="227">
        <f>Мор!D9</f>
        <v>1.59884</v>
      </c>
      <c r="Q18" s="227">
        <f t="shared" si="18"/>
        <v>114.20285714285716</v>
      </c>
      <c r="R18" s="227">
        <f>Мор!C10</f>
        <v>218.12</v>
      </c>
      <c r="S18" s="227">
        <f>Мор!D10</f>
        <v>242.17410000000001</v>
      </c>
      <c r="T18" s="227">
        <f t="shared" si="19"/>
        <v>111.02792041078307</v>
      </c>
      <c r="U18" s="227">
        <f>Мор!C11</f>
        <v>0</v>
      </c>
      <c r="V18" s="398">
        <f>Мор!D11</f>
        <v>-37.19632</v>
      </c>
      <c r="W18" s="227" t="e">
        <f t="shared" si="20"/>
        <v>#DIV/0!</v>
      </c>
      <c r="X18" s="188">
        <f>Мор!C13</f>
        <v>75</v>
      </c>
      <c r="Y18" s="188">
        <f>Мор!D13</f>
        <v>75.441950000000006</v>
      </c>
      <c r="Z18" s="227">
        <f t="shared" si="21"/>
        <v>100.58926666666667</v>
      </c>
      <c r="AA18" s="188">
        <f>Мор!C15</f>
        <v>550</v>
      </c>
      <c r="AB18" s="188">
        <f>Мор!D15</f>
        <v>698.03692000000001</v>
      </c>
      <c r="AC18" s="227">
        <f t="shared" si="22"/>
        <v>126.91580363636363</v>
      </c>
      <c r="AD18" s="188">
        <f>Мор!C16</f>
        <v>1676.7</v>
      </c>
      <c r="AE18" s="188">
        <f>Мор!D16</f>
        <v>1595.83988</v>
      </c>
      <c r="AF18" s="227">
        <f t="shared" si="4"/>
        <v>95.177424703286221</v>
      </c>
      <c r="AG18" s="227">
        <f>Мор!C18</f>
        <v>0</v>
      </c>
      <c r="AH18" s="227">
        <f>Мор!D18</f>
        <v>0</v>
      </c>
      <c r="AI18" s="227" t="e">
        <f t="shared" si="23"/>
        <v>#DIV/0!</v>
      </c>
      <c r="AJ18" s="227">
        <f>Мор!C22</f>
        <v>0</v>
      </c>
      <c r="AK18" s="227">
        <f>Мор!D22</f>
        <v>0</v>
      </c>
      <c r="AL18" s="227" t="e">
        <f t="shared" si="5"/>
        <v>#DIV/0!</v>
      </c>
      <c r="AM18" s="188">
        <v>0</v>
      </c>
      <c r="AN18" s="188"/>
      <c r="AO18" s="227" t="e">
        <f t="shared" si="6"/>
        <v>#DIV/0!</v>
      </c>
      <c r="AP18" s="188">
        <f>Мор!C27</f>
        <v>0</v>
      </c>
      <c r="AQ18" s="435">
        <f>Мор!D27</f>
        <v>0.17016000000000001</v>
      </c>
      <c r="AR18" s="227" t="e">
        <f t="shared" si="24"/>
        <v>#DIV/0!</v>
      </c>
      <c r="AS18" s="188">
        <f>Мор!C28</f>
        <v>10</v>
      </c>
      <c r="AT18" s="396">
        <f>Мор!D28</f>
        <v>0</v>
      </c>
      <c r="AU18" s="227">
        <f t="shared" si="25"/>
        <v>0</v>
      </c>
      <c r="AV18" s="188"/>
      <c r="AW18" s="188"/>
      <c r="AX18" s="227" t="e">
        <f t="shared" si="26"/>
        <v>#DIV/0!</v>
      </c>
      <c r="AY18" s="227">
        <f>Мор!C29</f>
        <v>10</v>
      </c>
      <c r="AZ18" s="227">
        <f>Мор!D29</f>
        <v>8.3664100000000001</v>
      </c>
      <c r="BA18" s="227">
        <f t="shared" si="27"/>
        <v>83.664099999999991</v>
      </c>
      <c r="BB18" s="227"/>
      <c r="BC18" s="227"/>
      <c r="BD18" s="227"/>
      <c r="BE18" s="227">
        <f>Мор!C33</f>
        <v>0</v>
      </c>
      <c r="BF18" s="227">
        <f>Мор!D33</f>
        <v>0</v>
      </c>
      <c r="BG18" s="227" t="e">
        <f>Мор!E33</f>
        <v>#DIV/0!</v>
      </c>
      <c r="BH18" s="227">
        <f>Мор!F33</f>
        <v>0</v>
      </c>
      <c r="BI18" s="227">
        <f>Мор!G33</f>
        <v>0</v>
      </c>
      <c r="BJ18" s="227">
        <f>Мор!H33</f>
        <v>0</v>
      </c>
      <c r="BK18" s="227">
        <f>Мор!I33</f>
        <v>0</v>
      </c>
      <c r="BL18" s="227">
        <f>Мор!J33</f>
        <v>0</v>
      </c>
      <c r="BM18" s="227">
        <f>Мор!K33</f>
        <v>0</v>
      </c>
      <c r="BN18" s="227">
        <f>Мор!C35</f>
        <v>0</v>
      </c>
      <c r="BO18" s="359">
        <f>Мор!D34</f>
        <v>23.957180000000001</v>
      </c>
      <c r="BP18" s="227" t="e">
        <f t="shared" si="30"/>
        <v>#DIV/0!</v>
      </c>
      <c r="BQ18" s="227">
        <f>Мор!C36</f>
        <v>0</v>
      </c>
      <c r="BR18" s="227">
        <f>Мор!D36</f>
        <v>-11.519869999999999</v>
      </c>
      <c r="BS18" s="227" t="e">
        <f t="shared" si="31"/>
        <v>#DIV/0!</v>
      </c>
      <c r="BT18" s="227"/>
      <c r="BU18" s="227"/>
      <c r="BV18" s="229" t="e">
        <f t="shared" si="32"/>
        <v>#DIV/0!</v>
      </c>
      <c r="BW18" s="229"/>
      <c r="BX18" s="229"/>
      <c r="BY18" s="229" t="e">
        <f t="shared" si="33"/>
        <v>#DIV/0!</v>
      </c>
      <c r="BZ18" s="188">
        <f t="shared" si="34"/>
        <v>4939.7429999999995</v>
      </c>
      <c r="CA18" s="186">
        <f t="shared" si="35"/>
        <v>4941.4656899999991</v>
      </c>
      <c r="CB18" s="227">
        <f t="shared" ref="CB18:CB31" si="53">CA18/BZ18*100</f>
        <v>100.03487408150585</v>
      </c>
      <c r="CC18" s="227">
        <f>Мор!C41</f>
        <v>4512.616</v>
      </c>
      <c r="CD18" s="227">
        <f>Мор!D41</f>
        <v>4512.616</v>
      </c>
      <c r="CE18" s="227">
        <f t="shared" si="36"/>
        <v>100</v>
      </c>
      <c r="CF18" s="227">
        <f>Мор!C42</f>
        <v>0</v>
      </c>
      <c r="CG18" s="227">
        <f>Мор!D42</f>
        <v>0</v>
      </c>
      <c r="CH18" s="227" t="e">
        <f t="shared" si="37"/>
        <v>#DIV/0!</v>
      </c>
      <c r="CI18" s="227">
        <f>Мор!C43</f>
        <v>291.43099999999998</v>
      </c>
      <c r="CJ18" s="227">
        <f>Мор!D43</f>
        <v>291.43099999999998</v>
      </c>
      <c r="CK18" s="227">
        <f t="shared" si="7"/>
        <v>100</v>
      </c>
      <c r="CL18" s="227">
        <f>Мор!C45</f>
        <v>15.396000000000001</v>
      </c>
      <c r="CM18" s="227">
        <f>Мор!D45</f>
        <v>15.396000000000001</v>
      </c>
      <c r="CN18" s="227">
        <f t="shared" si="8"/>
        <v>100</v>
      </c>
      <c r="CO18" s="227">
        <f>Мор!C46</f>
        <v>0</v>
      </c>
      <c r="CP18" s="227">
        <f>Мор!D46</f>
        <v>0</v>
      </c>
      <c r="CQ18" s="227" t="e">
        <f>CP18/CO18*100</f>
        <v>#DIV/0!</v>
      </c>
      <c r="CR18" s="227">
        <f>Мор!C48</f>
        <v>120.3</v>
      </c>
      <c r="CS18" s="227">
        <f>Мор!D48</f>
        <v>122.02269</v>
      </c>
      <c r="CT18" s="227">
        <f t="shared" si="9"/>
        <v>101.43199501246882</v>
      </c>
      <c r="CU18" s="227"/>
      <c r="CV18" s="227"/>
      <c r="CW18" s="227"/>
      <c r="CX18" s="188"/>
      <c r="CY18" s="188"/>
      <c r="CZ18" s="227" t="e">
        <f t="shared" si="38"/>
        <v>#DIV/0!</v>
      </c>
      <c r="DA18" s="227"/>
      <c r="DB18" s="227"/>
      <c r="DC18" s="227"/>
      <c r="DD18" s="227"/>
      <c r="DE18" s="227"/>
      <c r="DF18" s="227"/>
      <c r="DG18" s="188">
        <f t="shared" si="39"/>
        <v>9286.2651699999988</v>
      </c>
      <c r="DH18" s="188">
        <f t="shared" si="39"/>
        <v>9038.7663600000014</v>
      </c>
      <c r="DI18" s="227">
        <f t="shared" si="40"/>
        <v>97.334786316467017</v>
      </c>
      <c r="DJ18" s="188">
        <f t="shared" si="41"/>
        <v>1958.6899599999999</v>
      </c>
      <c r="DK18" s="188">
        <f t="shared" si="41"/>
        <v>1941.4812999999999</v>
      </c>
      <c r="DL18" s="227">
        <f t="shared" si="42"/>
        <v>99.121419910683557</v>
      </c>
      <c r="DM18" s="227">
        <f>Мор!C58</f>
        <v>1844.64896</v>
      </c>
      <c r="DN18" s="227">
        <f>Мор!D58</f>
        <v>1836.9403</v>
      </c>
      <c r="DO18" s="227">
        <f t="shared" si="43"/>
        <v>99.5821069391978</v>
      </c>
      <c r="DP18" s="227">
        <f>Мор!C61</f>
        <v>68.039000000000001</v>
      </c>
      <c r="DQ18" s="227">
        <f>Мор!D61</f>
        <v>68.039000000000001</v>
      </c>
      <c r="DR18" s="227">
        <f t="shared" si="44"/>
        <v>100</v>
      </c>
      <c r="DS18" s="227">
        <f>Мор!C62</f>
        <v>2</v>
      </c>
      <c r="DT18" s="227">
        <f>Мор!D62</f>
        <v>0</v>
      </c>
      <c r="DU18" s="227">
        <f t="shared" si="45"/>
        <v>0</v>
      </c>
      <c r="DV18" s="227">
        <f>Мор!C63</f>
        <v>44.002000000000002</v>
      </c>
      <c r="DW18" s="227">
        <f>Мор!D63</f>
        <v>36.502000000000002</v>
      </c>
      <c r="DX18" s="227">
        <f t="shared" si="46"/>
        <v>82.955320212717609</v>
      </c>
      <c r="DY18" s="227">
        <f>Мор!C64</f>
        <v>0</v>
      </c>
      <c r="DZ18" s="227">
        <f>Мор!D64</f>
        <v>0</v>
      </c>
      <c r="EA18" s="227" t="e">
        <f t="shared" si="47"/>
        <v>#DIV/0!</v>
      </c>
      <c r="EB18" s="227">
        <f>Мор!C66</f>
        <v>9.9250000000000007</v>
      </c>
      <c r="EC18" s="227">
        <f>Мор!D66</f>
        <v>4.9249999999999998</v>
      </c>
      <c r="ED18" s="227">
        <f t="shared" si="48"/>
        <v>49.622166246851378</v>
      </c>
      <c r="EE18" s="188">
        <f>Мор!C71</f>
        <v>1611.5611699999999</v>
      </c>
      <c r="EF18" s="188">
        <f>Мор!D71</f>
        <v>1415.80114</v>
      </c>
      <c r="EG18" s="227">
        <f t="shared" si="49"/>
        <v>87.852770739071602</v>
      </c>
      <c r="EH18" s="188">
        <f>Мор!C76</f>
        <v>3331.7890400000001</v>
      </c>
      <c r="EI18" s="188">
        <f>Мор!D76</f>
        <v>3302.2589200000002</v>
      </c>
      <c r="EJ18" s="227">
        <f t="shared" si="50"/>
        <v>99.113685781258226</v>
      </c>
      <c r="EK18" s="188">
        <f>Мор!C80</f>
        <v>2374.3000000000002</v>
      </c>
      <c r="EL18" s="230">
        <f>Мор!D80</f>
        <v>2374.3000000000002</v>
      </c>
      <c r="EM18" s="227">
        <f t="shared" si="10"/>
        <v>100</v>
      </c>
      <c r="EN18" s="227">
        <f>Мор!C83</f>
        <v>0</v>
      </c>
      <c r="EO18" s="227">
        <f>Мор!D83</f>
        <v>0</v>
      </c>
      <c r="EP18" s="227" t="e">
        <f t="shared" si="11"/>
        <v>#DIV/0!</v>
      </c>
      <c r="EQ18" s="228">
        <f>Мор!C88</f>
        <v>0</v>
      </c>
      <c r="ER18" s="228">
        <f>Мор!D88</f>
        <v>0</v>
      </c>
      <c r="ES18" s="227" t="e">
        <f t="shared" si="51"/>
        <v>#DIV/0!</v>
      </c>
      <c r="ET18" s="227">
        <f>Мор!C94</f>
        <v>0</v>
      </c>
      <c r="EU18" s="227">
        <f>Мор!D94</f>
        <v>0</v>
      </c>
      <c r="EV18" s="227" t="e">
        <f t="shared" si="52"/>
        <v>#DIV/0!</v>
      </c>
      <c r="EW18" s="231">
        <f t="shared" si="12"/>
        <v>-50.512169999999969</v>
      </c>
      <c r="EX18" s="231">
        <f t="shared" si="13"/>
        <v>489.69602999999552</v>
      </c>
      <c r="EY18" s="227">
        <f t="shared" ref="EY18:EY30" si="54">EX18/EW18*100</f>
        <v>-969.46147829324264</v>
      </c>
      <c r="EZ18" s="232"/>
      <c r="FA18" s="233"/>
      <c r="FC18" s="233"/>
    </row>
    <row r="19" spans="1:170" s="407" customFormat="1" ht="15" customHeight="1">
      <c r="A19" s="402">
        <v>6</v>
      </c>
      <c r="B19" s="194" t="s">
        <v>309</v>
      </c>
      <c r="C19" s="448">
        <f t="shared" si="14"/>
        <v>6689.6918699999997</v>
      </c>
      <c r="D19" s="448">
        <f t="shared" si="0"/>
        <v>6651.8525900000004</v>
      </c>
      <c r="E19" s="187">
        <f t="shared" si="1"/>
        <v>99.434364381270086</v>
      </c>
      <c r="F19" s="198">
        <f t="shared" si="2"/>
        <v>4833.7</v>
      </c>
      <c r="G19" s="198">
        <f t="shared" si="3"/>
        <v>4795.8607200000006</v>
      </c>
      <c r="H19" s="187">
        <f t="shared" si="15"/>
        <v>99.217177731344535</v>
      </c>
      <c r="I19" s="195">
        <f>Мос!C6</f>
        <v>1309.9000000000001</v>
      </c>
      <c r="J19" s="195">
        <f>Мос!D6</f>
        <v>1248.0398</v>
      </c>
      <c r="K19" s="187">
        <f t="shared" si="16"/>
        <v>95.277486831055796</v>
      </c>
      <c r="L19" s="187">
        <f>Мос!C8</f>
        <v>246.85</v>
      </c>
      <c r="M19" s="187">
        <f>Мос!D8</f>
        <v>313.80506000000003</v>
      </c>
      <c r="N19" s="187">
        <f t="shared" si="17"/>
        <v>127.12378367429615</v>
      </c>
      <c r="O19" s="187">
        <f>Мос!C9</f>
        <v>2.65</v>
      </c>
      <c r="P19" s="187">
        <f>Мос!D9</f>
        <v>3.02217</v>
      </c>
      <c r="Q19" s="187">
        <f t="shared" si="18"/>
        <v>114.04415094339623</v>
      </c>
      <c r="R19" s="187">
        <f>Мос!C10</f>
        <v>412.3</v>
      </c>
      <c r="S19" s="187">
        <f>Мос!D10</f>
        <v>457.7681</v>
      </c>
      <c r="T19" s="187">
        <f t="shared" si="19"/>
        <v>111.02791656560757</v>
      </c>
      <c r="U19" s="187">
        <f>Мос!C11</f>
        <v>0</v>
      </c>
      <c r="V19" s="403">
        <f>Мос!D11</f>
        <v>-70.310140000000004</v>
      </c>
      <c r="W19" s="187" t="e">
        <f t="shared" si="20"/>
        <v>#DIV/0!</v>
      </c>
      <c r="X19" s="195">
        <f>Мос!C13</f>
        <v>10</v>
      </c>
      <c r="Y19" s="195">
        <f>Мос!D13</f>
        <v>28.442399999999999</v>
      </c>
      <c r="Z19" s="187">
        <f t="shared" si="21"/>
        <v>284.42400000000004</v>
      </c>
      <c r="AA19" s="195">
        <f>Мос!C15</f>
        <v>190</v>
      </c>
      <c r="AB19" s="195">
        <f>Мос!D15</f>
        <v>233.42133999999999</v>
      </c>
      <c r="AC19" s="187">
        <f t="shared" si="22"/>
        <v>122.85333684210526</v>
      </c>
      <c r="AD19" s="195">
        <f>Мос!C16</f>
        <v>2650</v>
      </c>
      <c r="AE19" s="195">
        <f>Мос!D16</f>
        <v>2572.37538</v>
      </c>
      <c r="AF19" s="187">
        <f t="shared" si="4"/>
        <v>97.070769056603766</v>
      </c>
      <c r="AG19" s="187">
        <f>Мос!C18</f>
        <v>10</v>
      </c>
      <c r="AH19" s="187">
        <f>Мос!D18</f>
        <v>9.5500000000000007</v>
      </c>
      <c r="AI19" s="187">
        <f t="shared" si="23"/>
        <v>95.5</v>
      </c>
      <c r="AJ19" s="187"/>
      <c r="AK19" s="187"/>
      <c r="AL19" s="187" t="e">
        <f t="shared" si="5"/>
        <v>#DIV/0!</v>
      </c>
      <c r="AM19" s="195">
        <f>Мос!C27</f>
        <v>0</v>
      </c>
      <c r="AN19" s="195">
        <f>Мос!D27</f>
        <v>0</v>
      </c>
      <c r="AO19" s="187" t="e">
        <f t="shared" si="6"/>
        <v>#DIV/0!</v>
      </c>
      <c r="AP19" s="195">
        <v>0</v>
      </c>
      <c r="AQ19" s="435">
        <f>Мос!D27</f>
        <v>0</v>
      </c>
      <c r="AR19" s="187" t="e">
        <f t="shared" si="24"/>
        <v>#DIV/0!</v>
      </c>
      <c r="AS19" s="195">
        <f>Мос!C26</f>
        <v>2</v>
      </c>
      <c r="AT19" s="395">
        <f>Мос!D28</f>
        <v>0</v>
      </c>
      <c r="AU19" s="187">
        <f t="shared" si="25"/>
        <v>0</v>
      </c>
      <c r="AV19" s="195"/>
      <c r="AW19" s="195"/>
      <c r="AX19" s="187" t="e">
        <f t="shared" si="26"/>
        <v>#DIV/0!</v>
      </c>
      <c r="AY19" s="187">
        <f>Мос!C30</f>
        <v>0</v>
      </c>
      <c r="AZ19" s="187">
        <f>Мос!D30</f>
        <v>0</v>
      </c>
      <c r="BA19" s="187" t="e">
        <f t="shared" si="27"/>
        <v>#DIV/0!</v>
      </c>
      <c r="BB19" s="187"/>
      <c r="BC19" s="187"/>
      <c r="BD19" s="187"/>
      <c r="BE19" s="187">
        <f>Мос!C33</f>
        <v>0</v>
      </c>
      <c r="BF19" s="187">
        <f>Мос!D33</f>
        <v>0</v>
      </c>
      <c r="BG19" s="187" t="e">
        <f t="shared" si="28"/>
        <v>#DIV/0!</v>
      </c>
      <c r="BH19" s="187"/>
      <c r="BI19" s="187"/>
      <c r="BJ19" s="187" t="e">
        <f t="shared" si="29"/>
        <v>#DIV/0!</v>
      </c>
      <c r="BK19" s="187"/>
      <c r="BL19" s="187"/>
      <c r="BM19" s="187"/>
      <c r="BN19" s="187"/>
      <c r="BO19" s="358">
        <f>Мос!D35</f>
        <v>0</v>
      </c>
      <c r="BP19" s="187" t="e">
        <f t="shared" si="30"/>
        <v>#DIV/0!</v>
      </c>
      <c r="BQ19" s="187">
        <f>Мос!C36</f>
        <v>0</v>
      </c>
      <c r="BR19" s="187">
        <f>Мос!D36</f>
        <v>-0.25339</v>
      </c>
      <c r="BS19" s="187" t="e">
        <f t="shared" si="31"/>
        <v>#DIV/0!</v>
      </c>
      <c r="BT19" s="187"/>
      <c r="BU19" s="187"/>
      <c r="BV19" s="196" t="e">
        <f t="shared" si="32"/>
        <v>#DIV/0!</v>
      </c>
      <c r="BW19" s="196"/>
      <c r="BX19" s="196"/>
      <c r="BY19" s="196" t="e">
        <f t="shared" si="33"/>
        <v>#DIV/0!</v>
      </c>
      <c r="BZ19" s="195">
        <f t="shared" si="34"/>
        <v>1855.9918699999998</v>
      </c>
      <c r="CA19" s="195">
        <f t="shared" si="35"/>
        <v>1855.9918699999998</v>
      </c>
      <c r="CB19" s="187">
        <f t="shared" si="53"/>
        <v>100</v>
      </c>
      <c r="CC19" s="187">
        <f>Мос!C41</f>
        <v>35.76</v>
      </c>
      <c r="CD19" s="187">
        <f>Мос!D41</f>
        <v>35.76</v>
      </c>
      <c r="CE19" s="187">
        <f>CD19/CC19*100</f>
        <v>100</v>
      </c>
      <c r="CF19" s="187">
        <f>Мос!C42</f>
        <v>0</v>
      </c>
      <c r="CG19" s="187">
        <f>Мос!D42</f>
        <v>0</v>
      </c>
      <c r="CH19" s="187" t="e">
        <f t="shared" si="37"/>
        <v>#DIV/0!</v>
      </c>
      <c r="CI19" s="187">
        <f>Мос!C43</f>
        <v>1371.22387</v>
      </c>
      <c r="CJ19" s="187">
        <f>Мос!D43</f>
        <v>1371.22387</v>
      </c>
      <c r="CK19" s="187">
        <f t="shared" si="7"/>
        <v>100</v>
      </c>
      <c r="CL19" s="187">
        <f>Мос!C45</f>
        <v>174.108</v>
      </c>
      <c r="CM19" s="187">
        <f>Мос!D45</f>
        <v>174.108</v>
      </c>
      <c r="CN19" s="187">
        <f t="shared" si="8"/>
        <v>100</v>
      </c>
      <c r="CO19" s="187">
        <f>Мос!C47</f>
        <v>0</v>
      </c>
      <c r="CP19" s="187">
        <f>Мос!D46</f>
        <v>0</v>
      </c>
      <c r="CQ19" s="187" t="e">
        <f>CP19/CO19*100</f>
        <v>#DIV/0!</v>
      </c>
      <c r="CR19" s="187">
        <f>Мос!C50</f>
        <v>274.89999999999998</v>
      </c>
      <c r="CS19" s="187">
        <f>Мос!D50</f>
        <v>274.89999999999998</v>
      </c>
      <c r="CT19" s="187">
        <f t="shared" si="9"/>
        <v>100</v>
      </c>
      <c r="CU19" s="187"/>
      <c r="CV19" s="187"/>
      <c r="CW19" s="187"/>
      <c r="CX19" s="195"/>
      <c r="CY19" s="195"/>
      <c r="CZ19" s="187" t="e">
        <f t="shared" si="38"/>
        <v>#DIV/0!</v>
      </c>
      <c r="DA19" s="187"/>
      <c r="DB19" s="187"/>
      <c r="DC19" s="187"/>
      <c r="DD19" s="187"/>
      <c r="DE19" s="187"/>
      <c r="DF19" s="187"/>
      <c r="DG19" s="195">
        <f t="shared" si="39"/>
        <v>7017.9378799999995</v>
      </c>
      <c r="DH19" s="195">
        <f t="shared" si="39"/>
        <v>6579.2673599999998</v>
      </c>
      <c r="DI19" s="187">
        <f t="shared" si="40"/>
        <v>93.749296053900096</v>
      </c>
      <c r="DJ19" s="195">
        <f t="shared" si="41"/>
        <v>1874.9753800000001</v>
      </c>
      <c r="DK19" s="195">
        <f t="shared" si="41"/>
        <v>1832.9939600000002</v>
      </c>
      <c r="DL19" s="187">
        <f t="shared" si="42"/>
        <v>97.760961533265572</v>
      </c>
      <c r="DM19" s="187">
        <f>Мос!C58</f>
        <v>1846.39438</v>
      </c>
      <c r="DN19" s="187">
        <f>Мос!D58</f>
        <v>1810.0975000000001</v>
      </c>
      <c r="DO19" s="187">
        <f t="shared" si="43"/>
        <v>98.034175125684698</v>
      </c>
      <c r="DP19" s="187">
        <f>Мос!C61</f>
        <v>16.698</v>
      </c>
      <c r="DQ19" s="187">
        <f>Мос!D61</f>
        <v>16.698</v>
      </c>
      <c r="DR19" s="187">
        <f t="shared" si="44"/>
        <v>100</v>
      </c>
      <c r="DS19" s="187">
        <f>Мос!C62</f>
        <v>5</v>
      </c>
      <c r="DT19" s="187">
        <f>Мос!D62</f>
        <v>0</v>
      </c>
      <c r="DU19" s="187">
        <f t="shared" si="45"/>
        <v>0</v>
      </c>
      <c r="DV19" s="187">
        <f>Мос!C63</f>
        <v>6.883</v>
      </c>
      <c r="DW19" s="187">
        <f>Мос!D63</f>
        <v>6.1984599999999999</v>
      </c>
      <c r="DX19" s="187">
        <f t="shared" si="46"/>
        <v>90.054627342728452</v>
      </c>
      <c r="DY19" s="187">
        <f>Мос!C65</f>
        <v>170.749</v>
      </c>
      <c r="DZ19" s="187">
        <f>Мос!D65</f>
        <v>170.749</v>
      </c>
      <c r="EA19" s="187">
        <f t="shared" si="47"/>
        <v>100</v>
      </c>
      <c r="EB19" s="187">
        <f>Мос!C66</f>
        <v>11</v>
      </c>
      <c r="EC19" s="187">
        <f>Мос!D66</f>
        <v>3</v>
      </c>
      <c r="ED19" s="187">
        <f t="shared" si="48"/>
        <v>27.27272727272727</v>
      </c>
      <c r="EE19" s="195">
        <f>Мос!C71</f>
        <v>2835.55888</v>
      </c>
      <c r="EF19" s="195">
        <f>Мос!D71</f>
        <v>2690.87817</v>
      </c>
      <c r="EG19" s="187">
        <f t="shared" si="49"/>
        <v>94.897629845725504</v>
      </c>
      <c r="EH19" s="195">
        <f>Мос!C76</f>
        <v>988.05462</v>
      </c>
      <c r="EI19" s="195">
        <f>Мос!D76</f>
        <v>744.04623000000004</v>
      </c>
      <c r="EJ19" s="187">
        <f t="shared" si="50"/>
        <v>75.304159804444822</v>
      </c>
      <c r="EK19" s="195">
        <f>Мос!C81</f>
        <v>1107.5999999999999</v>
      </c>
      <c r="EL19" s="197">
        <f>Мос!D81</f>
        <v>1107.5999999999999</v>
      </c>
      <c r="EM19" s="187">
        <f t="shared" si="10"/>
        <v>100</v>
      </c>
      <c r="EN19" s="187">
        <f>Мос!C89</f>
        <v>0</v>
      </c>
      <c r="EO19" s="187">
        <f>Мос!D89</f>
        <v>0</v>
      </c>
      <c r="EP19" s="187" t="e">
        <f t="shared" si="11"/>
        <v>#DIV/0!</v>
      </c>
      <c r="EQ19" s="198">
        <f>Мос!C91</f>
        <v>30</v>
      </c>
      <c r="ER19" s="198">
        <f>Мос!D91</f>
        <v>30</v>
      </c>
      <c r="ES19" s="187">
        <f t="shared" si="51"/>
        <v>100</v>
      </c>
      <c r="ET19" s="187">
        <f>Мос!C97</f>
        <v>0</v>
      </c>
      <c r="EU19" s="187">
        <f>Мос!D97</f>
        <v>0</v>
      </c>
      <c r="EV19" s="187" t="e">
        <f t="shared" si="52"/>
        <v>#DIV/0!</v>
      </c>
      <c r="EW19" s="404">
        <f t="shared" si="12"/>
        <v>-328.24600999999984</v>
      </c>
      <c r="EX19" s="404">
        <f t="shared" si="13"/>
        <v>72.585230000000593</v>
      </c>
      <c r="EY19" s="187">
        <f t="shared" si="54"/>
        <v>-22.113057825135673</v>
      </c>
      <c r="EZ19" s="405"/>
      <c r="FA19" s="406"/>
      <c r="FC19" s="406"/>
    </row>
    <row r="20" spans="1:170" s="169" customFormat="1" ht="15" customHeight="1">
      <c r="A20" s="181">
        <v>7</v>
      </c>
      <c r="B20" s="194" t="s">
        <v>310</v>
      </c>
      <c r="C20" s="183">
        <f t="shared" si="14"/>
        <v>6035.7620000000006</v>
      </c>
      <c r="D20" s="448">
        <f t="shared" si="0"/>
        <v>6051.39552</v>
      </c>
      <c r="E20" s="187">
        <f t="shared" si="1"/>
        <v>100.25901485181157</v>
      </c>
      <c r="F20" s="185">
        <f t="shared" si="2"/>
        <v>2702.3</v>
      </c>
      <c r="G20" s="185">
        <f t="shared" si="3"/>
        <v>2717.9511699999998</v>
      </c>
      <c r="H20" s="187">
        <f t="shared" si="15"/>
        <v>100.57917958775857</v>
      </c>
      <c r="I20" s="291">
        <f>Ори!C6</f>
        <v>262.3</v>
      </c>
      <c r="J20" s="291">
        <f>Ори!D6</f>
        <v>235.73829000000001</v>
      </c>
      <c r="K20" s="187">
        <f t="shared" si="16"/>
        <v>89.873537933663741</v>
      </c>
      <c r="L20" s="187">
        <f>Ори!C8</f>
        <v>157.66999999999999</v>
      </c>
      <c r="M20" s="187">
        <f>Ори!D8</f>
        <v>200.43033</v>
      </c>
      <c r="N20" s="184">
        <f t="shared" si="17"/>
        <v>127.12014333735017</v>
      </c>
      <c r="O20" s="184">
        <f>Ори!C9</f>
        <v>1.7</v>
      </c>
      <c r="P20" s="184">
        <f>Ори!D9</f>
        <v>1.9302900000000001</v>
      </c>
      <c r="Q20" s="184">
        <f t="shared" si="18"/>
        <v>113.54647058823531</v>
      </c>
      <c r="R20" s="184">
        <f>Ори!C10</f>
        <v>263.33</v>
      </c>
      <c r="S20" s="184">
        <f>Ори!D10</f>
        <v>292.38092</v>
      </c>
      <c r="T20" s="184">
        <f t="shared" si="19"/>
        <v>111.03213458398209</v>
      </c>
      <c r="U20" s="184">
        <f>Ори!C11</f>
        <v>0</v>
      </c>
      <c r="V20" s="397">
        <f>Ори!D11</f>
        <v>-44.907769999999999</v>
      </c>
      <c r="W20" s="184" t="e">
        <f t="shared" si="20"/>
        <v>#DIV/0!</v>
      </c>
      <c r="X20" s="195">
        <f>Ори!C13</f>
        <v>40</v>
      </c>
      <c r="Y20" s="195">
        <f>Ори!D13</f>
        <v>35.739049999999999</v>
      </c>
      <c r="Z20" s="187">
        <f t="shared" si="21"/>
        <v>89.347624999999994</v>
      </c>
      <c r="AA20" s="195">
        <f>Ори!C15</f>
        <v>160</v>
      </c>
      <c r="AB20" s="195">
        <f>Ори!D15</f>
        <v>277.89713</v>
      </c>
      <c r="AC20" s="187">
        <f t="shared" si="22"/>
        <v>173.68570624999998</v>
      </c>
      <c r="AD20" s="195">
        <f>Ори!C16</f>
        <v>1620</v>
      </c>
      <c r="AE20" s="195">
        <f>Ори!D16</f>
        <v>1517.1298999999999</v>
      </c>
      <c r="AF20" s="187">
        <f t="shared" si="4"/>
        <v>93.649993827160486</v>
      </c>
      <c r="AG20" s="187">
        <f>Ори!C18</f>
        <v>10</v>
      </c>
      <c r="AH20" s="187">
        <f>Ори!D18</f>
        <v>8.2850000000000001</v>
      </c>
      <c r="AI20" s="187">
        <f t="shared" si="23"/>
        <v>82.85</v>
      </c>
      <c r="AJ20" s="187"/>
      <c r="AK20" s="187"/>
      <c r="AL20" s="187" t="e">
        <f t="shared" si="5"/>
        <v>#DIV/0!</v>
      </c>
      <c r="AM20" s="195">
        <v>0</v>
      </c>
      <c r="AN20" s="195">
        <v>0</v>
      </c>
      <c r="AO20" s="187" t="e">
        <f t="shared" si="6"/>
        <v>#DIV/0!</v>
      </c>
      <c r="AP20" s="195">
        <f>Ори!C27</f>
        <v>107.3</v>
      </c>
      <c r="AQ20" s="435">
        <f>Ори!D27</f>
        <v>128.01184000000001</v>
      </c>
      <c r="AR20" s="187">
        <f t="shared" si="24"/>
        <v>119.30273998136067</v>
      </c>
      <c r="AS20" s="188">
        <f>Ори!C28</f>
        <v>30</v>
      </c>
      <c r="AT20" s="395">
        <f>Ори!D28</f>
        <v>58.5</v>
      </c>
      <c r="AU20" s="187">
        <f t="shared" si="25"/>
        <v>195</v>
      </c>
      <c r="AV20" s="195"/>
      <c r="AW20" s="195"/>
      <c r="AX20" s="187" t="e">
        <f t="shared" si="26"/>
        <v>#DIV/0!</v>
      </c>
      <c r="AY20" s="187">
        <f>Ори!C30</f>
        <v>50</v>
      </c>
      <c r="AZ20" s="187">
        <f>Ори!D30</f>
        <v>2.26797</v>
      </c>
      <c r="BA20" s="187">
        <f t="shared" si="27"/>
        <v>4.5359400000000001</v>
      </c>
      <c r="BB20" s="187"/>
      <c r="BC20" s="187"/>
      <c r="BD20" s="187"/>
      <c r="BE20" s="187">
        <f>Ори!C33</f>
        <v>0</v>
      </c>
      <c r="BF20" s="187">
        <f>Ори!D33</f>
        <v>0</v>
      </c>
      <c r="BG20" s="187" t="e">
        <f t="shared" si="28"/>
        <v>#DIV/0!</v>
      </c>
      <c r="BH20" s="187"/>
      <c r="BI20" s="187"/>
      <c r="BJ20" s="187" t="e">
        <f t="shared" si="29"/>
        <v>#DIV/0!</v>
      </c>
      <c r="BK20" s="187"/>
      <c r="BL20" s="187"/>
      <c r="BM20" s="187"/>
      <c r="BN20" s="187"/>
      <c r="BO20" s="358">
        <f>Ори!D34</f>
        <v>0</v>
      </c>
      <c r="BP20" s="187" t="e">
        <f t="shared" si="30"/>
        <v>#DIV/0!</v>
      </c>
      <c r="BQ20" s="187">
        <f>Ори!C36</f>
        <v>0</v>
      </c>
      <c r="BR20" s="187">
        <f>Ори!D36</f>
        <v>4.5482199999999997</v>
      </c>
      <c r="BS20" s="187" t="e">
        <f t="shared" si="31"/>
        <v>#DIV/0!</v>
      </c>
      <c r="BT20" s="187"/>
      <c r="BU20" s="187"/>
      <c r="BV20" s="196" t="e">
        <f t="shared" si="32"/>
        <v>#DIV/0!</v>
      </c>
      <c r="BW20" s="196"/>
      <c r="BX20" s="196"/>
      <c r="BY20" s="196" t="e">
        <f t="shared" si="33"/>
        <v>#DIV/0!</v>
      </c>
      <c r="BZ20" s="186">
        <f t="shared" si="34"/>
        <v>3333.462</v>
      </c>
      <c r="CA20" s="186">
        <f t="shared" si="35"/>
        <v>3333.4443500000002</v>
      </c>
      <c r="CB20" s="187">
        <f t="shared" si="53"/>
        <v>99.99947052043791</v>
      </c>
      <c r="CC20" s="187">
        <f>Ори!C41</f>
        <v>1357.7539999999999</v>
      </c>
      <c r="CD20" s="187">
        <f>Ори!D41</f>
        <v>1357.7539999999999</v>
      </c>
      <c r="CE20" s="187">
        <f t="shared" si="36"/>
        <v>100</v>
      </c>
      <c r="CF20" s="187">
        <f>Ори!C42</f>
        <v>420</v>
      </c>
      <c r="CG20" s="187">
        <f>Ори!D42</f>
        <v>420</v>
      </c>
      <c r="CH20" s="187">
        <f t="shared" si="37"/>
        <v>100</v>
      </c>
      <c r="CI20" s="187">
        <f>Ори!C43</f>
        <v>1070.72</v>
      </c>
      <c r="CJ20" s="187">
        <f>Ори!D43</f>
        <v>1070.72</v>
      </c>
      <c r="CK20" s="187">
        <f t="shared" si="7"/>
        <v>100</v>
      </c>
      <c r="CL20" s="187">
        <f>Ори!C45</f>
        <v>175.78800000000001</v>
      </c>
      <c r="CM20" s="187">
        <f>Ори!D45</f>
        <v>175.78800000000001</v>
      </c>
      <c r="CN20" s="187">
        <f t="shared" si="8"/>
        <v>100</v>
      </c>
      <c r="CO20" s="187">
        <f>Ори!C46</f>
        <v>0</v>
      </c>
      <c r="CP20" s="187">
        <f>Ори!D46</f>
        <v>0</v>
      </c>
      <c r="CQ20" s="187" t="e">
        <f>CP20/CO20*100</f>
        <v>#DIV/0!</v>
      </c>
      <c r="CR20" s="187">
        <f>Ори!C47</f>
        <v>309.2</v>
      </c>
      <c r="CS20" s="187">
        <f>Ори!D47</f>
        <v>309.18234999999999</v>
      </c>
      <c r="CT20" s="187">
        <f t="shared" si="9"/>
        <v>99.994291720569208</v>
      </c>
      <c r="CU20" s="187"/>
      <c r="CV20" s="187"/>
      <c r="CW20" s="187"/>
      <c r="CX20" s="195"/>
      <c r="CY20" s="195"/>
      <c r="CZ20" s="187" t="e">
        <f t="shared" si="38"/>
        <v>#DIV/0!</v>
      </c>
      <c r="DA20" s="187"/>
      <c r="DB20" s="187"/>
      <c r="DC20" s="187"/>
      <c r="DD20" s="187"/>
      <c r="DE20" s="187"/>
      <c r="DF20" s="187"/>
      <c r="DG20" s="195">
        <f t="shared" si="39"/>
        <v>6147.4955099999997</v>
      </c>
      <c r="DH20" s="195">
        <f t="shared" si="39"/>
        <v>5959.1862799999999</v>
      </c>
      <c r="DI20" s="187">
        <f t="shared" si="40"/>
        <v>96.936813866822973</v>
      </c>
      <c r="DJ20" s="195">
        <f t="shared" si="41"/>
        <v>1353.0815</v>
      </c>
      <c r="DK20" s="195">
        <f t="shared" si="41"/>
        <v>1275.6079500000001</v>
      </c>
      <c r="DL20" s="187">
        <f t="shared" si="42"/>
        <v>94.274287986348199</v>
      </c>
      <c r="DM20" s="187">
        <f>Ори!C58</f>
        <v>1336.1379999999999</v>
      </c>
      <c r="DN20" s="187">
        <f>Ори!D58</f>
        <v>1263.66445</v>
      </c>
      <c r="DO20" s="187">
        <f t="shared" si="43"/>
        <v>94.575893358320769</v>
      </c>
      <c r="DP20" s="187">
        <f>Ори!C61</f>
        <v>0</v>
      </c>
      <c r="DQ20" s="187">
        <f>Ори!D61</f>
        <v>0</v>
      </c>
      <c r="DR20" s="187" t="e">
        <f t="shared" si="44"/>
        <v>#DIV/0!</v>
      </c>
      <c r="DS20" s="187">
        <f>Ори!C62</f>
        <v>5</v>
      </c>
      <c r="DT20" s="187">
        <f>Ори!D62</f>
        <v>0</v>
      </c>
      <c r="DU20" s="187">
        <f t="shared" si="45"/>
        <v>0</v>
      </c>
      <c r="DV20" s="187">
        <f>Ори!C63</f>
        <v>11.9435</v>
      </c>
      <c r="DW20" s="187">
        <f>Ори!D63</f>
        <v>11.9435</v>
      </c>
      <c r="DX20" s="187">
        <f t="shared" si="46"/>
        <v>100</v>
      </c>
      <c r="DY20" s="187">
        <f>Ори!C65</f>
        <v>170.749</v>
      </c>
      <c r="DZ20" s="187">
        <f>Ори!D65</f>
        <v>170.749</v>
      </c>
      <c r="EA20" s="187">
        <f t="shared" si="47"/>
        <v>100</v>
      </c>
      <c r="EB20" s="187">
        <f>Ори!C66</f>
        <v>9.4405000000000001</v>
      </c>
      <c r="EC20" s="187">
        <f>Ори!D66</f>
        <v>9.4396599999999999</v>
      </c>
      <c r="ED20" s="187">
        <f t="shared" si="48"/>
        <v>99.991102166198814</v>
      </c>
      <c r="EE20" s="195">
        <f>Ори!C71</f>
        <v>2173.4105099999997</v>
      </c>
      <c r="EF20" s="195">
        <f>Ори!D71</f>
        <v>2064.5874699999999</v>
      </c>
      <c r="EG20" s="187">
        <f t="shared" si="49"/>
        <v>94.992982710845553</v>
      </c>
      <c r="EH20" s="195">
        <f>Ори!C76</f>
        <v>908.81399999999996</v>
      </c>
      <c r="EI20" s="195">
        <f>Ори!D76</f>
        <v>906.88819999999998</v>
      </c>
      <c r="EJ20" s="187">
        <f t="shared" si="50"/>
        <v>99.788097454484642</v>
      </c>
      <c r="EK20" s="195">
        <f>Ори!C81</f>
        <v>1530</v>
      </c>
      <c r="EL20" s="197">
        <f>Ори!D81</f>
        <v>1529.914</v>
      </c>
      <c r="EM20" s="187">
        <f t="shared" si="10"/>
        <v>99.994379084967321</v>
      </c>
      <c r="EN20" s="187">
        <f>Ори!C83</f>
        <v>0</v>
      </c>
      <c r="EO20" s="187">
        <f>Ори!D83</f>
        <v>0</v>
      </c>
      <c r="EP20" s="187" t="e">
        <f t="shared" si="11"/>
        <v>#DIV/0!</v>
      </c>
      <c r="EQ20" s="198">
        <f>Ори!C88</f>
        <v>2</v>
      </c>
      <c r="ER20" s="198">
        <f>Ори!D88</f>
        <v>2</v>
      </c>
      <c r="ES20" s="187">
        <f t="shared" si="51"/>
        <v>100</v>
      </c>
      <c r="ET20" s="187">
        <f>Ори!C94</f>
        <v>0</v>
      </c>
      <c r="EU20" s="187">
        <f>Ори!D94</f>
        <v>0</v>
      </c>
      <c r="EV20" s="184" t="e">
        <f t="shared" si="52"/>
        <v>#DIV/0!</v>
      </c>
      <c r="EW20" s="191">
        <f t="shared" si="12"/>
        <v>-111.73350999999911</v>
      </c>
      <c r="EX20" s="191">
        <f t="shared" si="13"/>
        <v>92.209240000000136</v>
      </c>
      <c r="EY20" s="184">
        <f t="shared" si="54"/>
        <v>-82.52603896539263</v>
      </c>
      <c r="EZ20" s="192"/>
      <c r="FA20" s="193"/>
      <c r="FC20" s="193"/>
      <c r="FF20" s="200"/>
      <c r="FG20" s="200"/>
      <c r="FH20" s="200"/>
      <c r="FI20" s="200"/>
      <c r="FJ20" s="200"/>
      <c r="FK20" s="200"/>
      <c r="FL20" s="200"/>
      <c r="FM20" s="200"/>
      <c r="FN20" s="200"/>
    </row>
    <row r="21" spans="1:170" s="169" customFormat="1" ht="15" customHeight="1">
      <c r="A21" s="181">
        <v>8</v>
      </c>
      <c r="B21" s="194" t="s">
        <v>311</v>
      </c>
      <c r="C21" s="183">
        <f t="shared" si="14"/>
        <v>6480.4975599999989</v>
      </c>
      <c r="D21" s="448">
        <f t="shared" si="0"/>
        <v>6417.2310999999991</v>
      </c>
      <c r="E21" s="187">
        <f t="shared" si="1"/>
        <v>99.023740701786494</v>
      </c>
      <c r="F21" s="185">
        <f t="shared" si="2"/>
        <v>1908.9538999999997</v>
      </c>
      <c r="G21" s="185">
        <f t="shared" si="3"/>
        <v>1951.9688699999999</v>
      </c>
      <c r="H21" s="187">
        <f t="shared" si="15"/>
        <v>102.25332680899211</v>
      </c>
      <c r="I21" s="195">
        <f>Сят!C6</f>
        <v>108.1</v>
      </c>
      <c r="J21" s="195">
        <f>Сят!D6</f>
        <v>124.8021</v>
      </c>
      <c r="K21" s="187">
        <f t="shared" si="16"/>
        <v>115.45060129509714</v>
      </c>
      <c r="L21" s="187">
        <f>Сят!C8</f>
        <v>194.3</v>
      </c>
      <c r="M21" s="187">
        <f>Сят!D8</f>
        <v>246.99495999999999</v>
      </c>
      <c r="N21" s="184">
        <f t="shared" si="17"/>
        <v>127.12041173443127</v>
      </c>
      <c r="O21" s="184">
        <f>Сят!C9</f>
        <v>2.1</v>
      </c>
      <c r="P21" s="184">
        <f>Сят!D9</f>
        <v>2.3787199999999999</v>
      </c>
      <c r="Q21" s="184">
        <f t="shared" si="18"/>
        <v>113.27238095238094</v>
      </c>
      <c r="R21" s="184">
        <f>Сят!C10</f>
        <v>324.5</v>
      </c>
      <c r="S21" s="184">
        <f>Сят!D10</f>
        <v>360.30781000000002</v>
      </c>
      <c r="T21" s="184">
        <f t="shared" si="19"/>
        <v>111.03476425269648</v>
      </c>
      <c r="U21" s="184">
        <f>Сят!C11</f>
        <v>0</v>
      </c>
      <c r="V21" s="397">
        <f>Сят!D11</f>
        <v>-55.340879999999999</v>
      </c>
      <c r="W21" s="184" t="e">
        <f t="shared" si="20"/>
        <v>#DIV/0!</v>
      </c>
      <c r="X21" s="195">
        <f>Сят!C13</f>
        <v>40</v>
      </c>
      <c r="Y21" s="195">
        <f>Сят!D13</f>
        <v>43.00244</v>
      </c>
      <c r="Z21" s="187">
        <f t="shared" si="21"/>
        <v>107.5061</v>
      </c>
      <c r="AA21" s="195">
        <f>Сят!C15</f>
        <v>130</v>
      </c>
      <c r="AB21" s="195">
        <f>Сят!D15</f>
        <v>132.36446000000001</v>
      </c>
      <c r="AC21" s="187">
        <f t="shared" si="22"/>
        <v>101.81881538461539</v>
      </c>
      <c r="AD21" s="195">
        <f>Сят!C16</f>
        <v>930</v>
      </c>
      <c r="AE21" s="195">
        <f>Сят!D16</f>
        <v>936.73725999999999</v>
      </c>
      <c r="AF21" s="187">
        <f t="shared" si="4"/>
        <v>100.72443655913979</v>
      </c>
      <c r="AG21" s="187">
        <f>Сят!C18</f>
        <v>10</v>
      </c>
      <c r="AH21" s="187">
        <f>Сят!D18</f>
        <v>7.15</v>
      </c>
      <c r="AI21" s="187">
        <f t="shared" si="23"/>
        <v>71.500000000000014</v>
      </c>
      <c r="AJ21" s="187">
        <f>Сят!C22</f>
        <v>0</v>
      </c>
      <c r="AK21" s="187">
        <f>Сят!D20</f>
        <v>0</v>
      </c>
      <c r="AL21" s="187" t="e">
        <f t="shared" si="5"/>
        <v>#DIV/0!</v>
      </c>
      <c r="AM21" s="195">
        <v>0</v>
      </c>
      <c r="AN21" s="195">
        <v>0</v>
      </c>
      <c r="AO21" s="187" t="e">
        <f t="shared" si="6"/>
        <v>#DIV/0!</v>
      </c>
      <c r="AP21" s="195">
        <f>Сят!C27</f>
        <v>160</v>
      </c>
      <c r="AQ21" s="435">
        <f>Сят!D27</f>
        <v>234.79</v>
      </c>
      <c r="AR21" s="187">
        <f t="shared" si="24"/>
        <v>146.74375000000001</v>
      </c>
      <c r="AS21" s="188">
        <f>Сят!C28</f>
        <v>6</v>
      </c>
      <c r="AT21" s="395">
        <f>Сят!D28</f>
        <v>6.7737600000000002</v>
      </c>
      <c r="AU21" s="187">
        <f t="shared" si="25"/>
        <v>112.896</v>
      </c>
      <c r="AV21" s="195"/>
      <c r="AW21" s="195"/>
      <c r="AX21" s="187" t="e">
        <f t="shared" si="26"/>
        <v>#DIV/0!</v>
      </c>
      <c r="AY21" s="187">
        <f>Сят!C30</f>
        <v>0</v>
      </c>
      <c r="AZ21" s="187">
        <f>Сят!D30</f>
        <v>3.0543399999999998</v>
      </c>
      <c r="BA21" s="187" t="e">
        <f t="shared" si="27"/>
        <v>#DIV/0!</v>
      </c>
      <c r="BB21" s="187"/>
      <c r="BC21" s="187"/>
      <c r="BD21" s="187"/>
      <c r="BE21" s="187">
        <f>Сят!C33</f>
        <v>0</v>
      </c>
      <c r="BF21" s="187">
        <f>Сят!D33</f>
        <v>0</v>
      </c>
      <c r="BG21" s="187" t="e">
        <f t="shared" si="28"/>
        <v>#DIV/0!</v>
      </c>
      <c r="BH21" s="187"/>
      <c r="BI21" s="187"/>
      <c r="BJ21" s="187" t="e">
        <f t="shared" si="29"/>
        <v>#DIV/0!</v>
      </c>
      <c r="BK21" s="187"/>
      <c r="BL21" s="187"/>
      <c r="BM21" s="187"/>
      <c r="BN21" s="187">
        <f>Сят!C34</f>
        <v>3.9539</v>
      </c>
      <c r="BO21" s="358">
        <f>Сят!D34</f>
        <v>3.9539</v>
      </c>
      <c r="BP21" s="187">
        <f t="shared" si="30"/>
        <v>100</v>
      </c>
      <c r="BQ21" s="187">
        <f>Сят!C36</f>
        <v>0</v>
      </c>
      <c r="BR21" s="187">
        <f>Сят!D36</f>
        <v>-95</v>
      </c>
      <c r="BS21" s="187" t="e">
        <f t="shared" si="31"/>
        <v>#DIV/0!</v>
      </c>
      <c r="BT21" s="187"/>
      <c r="BU21" s="187"/>
      <c r="BV21" s="196" t="e">
        <f t="shared" si="32"/>
        <v>#DIV/0!</v>
      </c>
      <c r="BW21" s="196"/>
      <c r="BX21" s="196"/>
      <c r="BY21" s="196" t="e">
        <f t="shared" si="33"/>
        <v>#DIV/0!</v>
      </c>
      <c r="BZ21" s="186">
        <f t="shared" si="34"/>
        <v>4571.5436599999994</v>
      </c>
      <c r="CA21" s="186">
        <f t="shared" si="35"/>
        <v>4465.2622299999994</v>
      </c>
      <c r="CB21" s="187">
        <f t="shared" si="53"/>
        <v>97.675152248245183</v>
      </c>
      <c r="CC21" s="187">
        <f>Сят!C41</f>
        <v>2768.8539999999998</v>
      </c>
      <c r="CD21" s="187">
        <f>Сят!D41</f>
        <v>2768.8539999999998</v>
      </c>
      <c r="CE21" s="187">
        <f t="shared" si="36"/>
        <v>100</v>
      </c>
      <c r="CF21" s="187">
        <f>Сят!C42</f>
        <v>0</v>
      </c>
      <c r="CG21" s="187">
        <f>Сят!D42</f>
        <v>0</v>
      </c>
      <c r="CH21" s="187" t="e">
        <f t="shared" si="37"/>
        <v>#DIV/0!</v>
      </c>
      <c r="CI21" s="187">
        <f>Сят!C43</f>
        <v>1338.21866</v>
      </c>
      <c r="CJ21" s="187">
        <f>Сят!D43</f>
        <v>1338.21866</v>
      </c>
      <c r="CK21" s="187">
        <f t="shared" si="7"/>
        <v>100</v>
      </c>
      <c r="CL21" s="187">
        <f>Сят!C44</f>
        <v>177.46700000000001</v>
      </c>
      <c r="CM21" s="187">
        <f>Сят!D44</f>
        <v>177.46700000000001</v>
      </c>
      <c r="CN21" s="187">
        <f t="shared" si="8"/>
        <v>100</v>
      </c>
      <c r="CO21" s="187">
        <f>Сят!C48</f>
        <v>0</v>
      </c>
      <c r="CP21" s="187">
        <f>Сят!D48</f>
        <v>0</v>
      </c>
      <c r="CQ21" s="187" t="e">
        <f>CP21/CO21*100</f>
        <v>#DIV/0!</v>
      </c>
      <c r="CR21" s="187">
        <f>Сят!C49</f>
        <v>287.00400000000002</v>
      </c>
      <c r="CS21" s="187">
        <f>Сят!D49</f>
        <v>287.00457</v>
      </c>
      <c r="CT21" s="187">
        <f t="shared" si="9"/>
        <v>100.00019860350378</v>
      </c>
      <c r="CU21" s="187"/>
      <c r="CV21" s="187">
        <f>Сят!D50</f>
        <v>-106.282</v>
      </c>
      <c r="CW21" s="187"/>
      <c r="CX21" s="195"/>
      <c r="CY21" s="195"/>
      <c r="CZ21" s="187" t="e">
        <f t="shared" si="38"/>
        <v>#DIV/0!</v>
      </c>
      <c r="DA21" s="187"/>
      <c r="DB21" s="187"/>
      <c r="DC21" s="187"/>
      <c r="DD21" s="187"/>
      <c r="DE21" s="187"/>
      <c r="DF21" s="187"/>
      <c r="DG21" s="195">
        <f t="shared" si="39"/>
        <v>6930.0035800000005</v>
      </c>
      <c r="DH21" s="195">
        <f t="shared" si="39"/>
        <v>6741.2264599999999</v>
      </c>
      <c r="DI21" s="187">
        <f t="shared" si="40"/>
        <v>97.275944841575381</v>
      </c>
      <c r="DJ21" s="195">
        <f t="shared" si="41"/>
        <v>1497.904</v>
      </c>
      <c r="DK21" s="195">
        <f>Сят!D56</f>
        <v>1456.3984599999999</v>
      </c>
      <c r="DL21" s="187">
        <f t="shared" si="42"/>
        <v>97.229092118052947</v>
      </c>
      <c r="DM21" s="187">
        <f>Сят!C58</f>
        <v>1437.855</v>
      </c>
      <c r="DN21" s="187">
        <f>Сят!D58</f>
        <v>1416.3594599999999</v>
      </c>
      <c r="DO21" s="187">
        <f t="shared" si="43"/>
        <v>98.50502728021948</v>
      </c>
      <c r="DP21" s="187">
        <f>Сят!C61</f>
        <v>19.635999999999999</v>
      </c>
      <c r="DQ21" s="187">
        <f>Сят!D61</f>
        <v>19.635999999999999</v>
      </c>
      <c r="DR21" s="187">
        <f t="shared" si="44"/>
        <v>100</v>
      </c>
      <c r="DS21" s="187">
        <f>Сят!C62</f>
        <v>20.010000000000002</v>
      </c>
      <c r="DT21" s="187">
        <f>Сят!D62</f>
        <v>0</v>
      </c>
      <c r="DU21" s="187">
        <f t="shared" si="45"/>
        <v>0</v>
      </c>
      <c r="DV21" s="187">
        <f>Сят!C63</f>
        <v>20.402999999999999</v>
      </c>
      <c r="DW21" s="187">
        <f>Сят!D63</f>
        <v>20.402999999999999</v>
      </c>
      <c r="DX21" s="187">
        <f t="shared" si="46"/>
        <v>100</v>
      </c>
      <c r="DY21" s="187">
        <f>Сят!C65</f>
        <v>170.749</v>
      </c>
      <c r="DZ21" s="187">
        <f>Сят!D65</f>
        <v>170.749</v>
      </c>
      <c r="EA21" s="187">
        <f t="shared" si="47"/>
        <v>100</v>
      </c>
      <c r="EB21" s="187">
        <f>Сят!C66</f>
        <v>1.46</v>
      </c>
      <c r="EC21" s="187">
        <f>Сят!D66</f>
        <v>0</v>
      </c>
      <c r="ED21" s="187">
        <f t="shared" si="48"/>
        <v>0</v>
      </c>
      <c r="EE21" s="195">
        <f>Сят!C71</f>
        <v>2291.5081600000003</v>
      </c>
      <c r="EF21" s="195">
        <f>Сят!D71</f>
        <v>2211.4493700000003</v>
      </c>
      <c r="EG21" s="187">
        <f t="shared" si="49"/>
        <v>96.506283878997834</v>
      </c>
      <c r="EH21" s="195">
        <f>Сят!C76</f>
        <v>831.53242</v>
      </c>
      <c r="EI21" s="195">
        <f>Сят!D76</f>
        <v>789.07821000000001</v>
      </c>
      <c r="EJ21" s="187">
        <f t="shared" si="50"/>
        <v>94.894461240609246</v>
      </c>
      <c r="EK21" s="195">
        <f>Сят!C80</f>
        <v>2099.85</v>
      </c>
      <c r="EL21" s="197">
        <f>Сят!D80</f>
        <v>2078.2454200000002</v>
      </c>
      <c r="EM21" s="187">
        <f t="shared" si="10"/>
        <v>98.971136985975207</v>
      </c>
      <c r="EN21" s="187">
        <f>Сят!C82</f>
        <v>0</v>
      </c>
      <c r="EO21" s="187">
        <f>Сят!D82</f>
        <v>0</v>
      </c>
      <c r="EP21" s="187" t="e">
        <f t="shared" si="11"/>
        <v>#DIV/0!</v>
      </c>
      <c r="EQ21" s="198">
        <f>Сят!C87</f>
        <v>37</v>
      </c>
      <c r="ER21" s="198">
        <f>Сят!D87</f>
        <v>35.305999999999997</v>
      </c>
      <c r="ES21" s="187">
        <f t="shared" si="51"/>
        <v>95.421621621621611</v>
      </c>
      <c r="ET21" s="187">
        <f>Сят!C93</f>
        <v>0</v>
      </c>
      <c r="EU21" s="187">
        <f>Сят!D93</f>
        <v>0</v>
      </c>
      <c r="EV21" s="184" t="e">
        <f t="shared" si="52"/>
        <v>#DIV/0!</v>
      </c>
      <c r="EW21" s="191">
        <f t="shared" si="12"/>
        <v>-449.50602000000163</v>
      </c>
      <c r="EX21" s="191">
        <f t="shared" si="13"/>
        <v>-323.9953600000008</v>
      </c>
      <c r="EY21" s="184">
        <f t="shared" si="54"/>
        <v>72.078091412435285</v>
      </c>
      <c r="EZ21" s="192"/>
      <c r="FA21" s="193"/>
      <c r="FB21" s="200"/>
      <c r="FC21" s="193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</row>
    <row r="22" spans="1:170" s="234" customFormat="1" ht="15" customHeight="1">
      <c r="A22" s="225">
        <v>9</v>
      </c>
      <c r="B22" s="226" t="s">
        <v>312</v>
      </c>
      <c r="C22" s="449">
        <f>F22+BZ22</f>
        <v>5179.59</v>
      </c>
      <c r="D22" s="449">
        <f t="shared" si="0"/>
        <v>5334.1465800000005</v>
      </c>
      <c r="E22" s="227">
        <f t="shared" si="1"/>
        <v>102.98395394230046</v>
      </c>
      <c r="F22" s="228">
        <f>I22+X22+AA22+AD22+AG22+AM22+AS22+BE22+BQ22+BN22+AJ22+AY22+L22+R22+O22+U22+AP22</f>
        <v>1873.5</v>
      </c>
      <c r="G22" s="228">
        <f t="shared" si="3"/>
        <v>2057.8557800000003</v>
      </c>
      <c r="H22" s="227">
        <f t="shared" si="15"/>
        <v>109.84018041099549</v>
      </c>
      <c r="I22" s="188">
        <f>Тор!C6</f>
        <v>104.8</v>
      </c>
      <c r="J22" s="188">
        <f>Тор!D6</f>
        <v>107.5669</v>
      </c>
      <c r="K22" s="227">
        <f t="shared" si="16"/>
        <v>102.64017175572519</v>
      </c>
      <c r="L22" s="227">
        <f>Тор!C8</f>
        <v>269.94</v>
      </c>
      <c r="M22" s="227">
        <f>Тор!D8</f>
        <v>343.161</v>
      </c>
      <c r="N22" s="227">
        <f t="shared" si="17"/>
        <v>127.12491664814402</v>
      </c>
      <c r="O22" s="227">
        <f>Тор!C9</f>
        <v>2.9</v>
      </c>
      <c r="P22" s="227">
        <f>Тор!D9</f>
        <v>3.3049200000000001</v>
      </c>
      <c r="Q22" s="227">
        <f t="shared" si="18"/>
        <v>113.96275862068966</v>
      </c>
      <c r="R22" s="227">
        <f>Тор!C10</f>
        <v>450.86</v>
      </c>
      <c r="S22" s="227">
        <f>Тор!D10</f>
        <v>500.59156999999999</v>
      </c>
      <c r="T22" s="227">
        <f t="shared" si="19"/>
        <v>111.0303797187597</v>
      </c>
      <c r="U22" s="227">
        <f>Тор!C11</f>
        <v>0</v>
      </c>
      <c r="V22" s="398">
        <f>Тор!D11</f>
        <v>-76.887529999999998</v>
      </c>
      <c r="W22" s="227" t="e">
        <f t="shared" si="20"/>
        <v>#DIV/0!</v>
      </c>
      <c r="X22" s="188">
        <f>Тор!C13</f>
        <v>15</v>
      </c>
      <c r="Y22" s="188">
        <f>Тор!D13</f>
        <v>26.056799999999999</v>
      </c>
      <c r="Z22" s="227">
        <f t="shared" si="21"/>
        <v>173.71199999999999</v>
      </c>
      <c r="AA22" s="188">
        <f>Тор!C15</f>
        <v>160</v>
      </c>
      <c r="AB22" s="188">
        <f>Тор!D15</f>
        <v>180.62952999999999</v>
      </c>
      <c r="AC22" s="227">
        <f t="shared" si="22"/>
        <v>112.89345625</v>
      </c>
      <c r="AD22" s="188">
        <f>Тор!C16</f>
        <v>470</v>
      </c>
      <c r="AE22" s="188">
        <f>Тор!D16</f>
        <v>457.77703000000002</v>
      </c>
      <c r="AF22" s="227">
        <f t="shared" si="4"/>
        <v>97.399368085106389</v>
      </c>
      <c r="AG22" s="227">
        <f>Тор!C18</f>
        <v>10</v>
      </c>
      <c r="AH22" s="227">
        <f>Тор!D18</f>
        <v>7.15</v>
      </c>
      <c r="AI22" s="227">
        <f t="shared" si="23"/>
        <v>71.500000000000014</v>
      </c>
      <c r="AJ22" s="227"/>
      <c r="AK22" s="227">
        <f>Тор!D20</f>
        <v>0</v>
      </c>
      <c r="AL22" s="227" t="e">
        <f t="shared" si="5"/>
        <v>#DIV/0!</v>
      </c>
      <c r="AM22" s="188">
        <v>0</v>
      </c>
      <c r="AN22" s="188">
        <v>0</v>
      </c>
      <c r="AO22" s="227" t="e">
        <f t="shared" si="6"/>
        <v>#DIV/0!</v>
      </c>
      <c r="AP22" s="188">
        <f>Тор!C27</f>
        <v>300</v>
      </c>
      <c r="AQ22" s="436">
        <f>Тор!D27</f>
        <v>349.78973999999999</v>
      </c>
      <c r="AR22" s="227">
        <f t="shared" si="24"/>
        <v>116.59657999999999</v>
      </c>
      <c r="AS22" s="188">
        <f>Тор!C28</f>
        <v>40</v>
      </c>
      <c r="AT22" s="396">
        <f>Тор!D28</f>
        <v>77.039019999999994</v>
      </c>
      <c r="AU22" s="227">
        <f t="shared" si="25"/>
        <v>192.59754999999998</v>
      </c>
      <c r="AV22" s="188"/>
      <c r="AW22" s="188"/>
      <c r="AX22" s="227" t="e">
        <f t="shared" si="26"/>
        <v>#DIV/0!</v>
      </c>
      <c r="AY22" s="227">
        <f>Тор!C29</f>
        <v>50</v>
      </c>
      <c r="AZ22" s="227">
        <f>Тор!D29</f>
        <v>81.934429999999992</v>
      </c>
      <c r="BA22" s="227">
        <f t="shared" si="27"/>
        <v>163.86885999999998</v>
      </c>
      <c r="BB22" s="227"/>
      <c r="BC22" s="227"/>
      <c r="BD22" s="227"/>
      <c r="BE22" s="227">
        <f>Тор!C34+Тор!C33</f>
        <v>0</v>
      </c>
      <c r="BF22" s="227">
        <f>Тор!D32</f>
        <v>0</v>
      </c>
      <c r="BG22" s="227" t="e">
        <f t="shared" si="28"/>
        <v>#DIV/0!</v>
      </c>
      <c r="BH22" s="227"/>
      <c r="BI22" s="227"/>
      <c r="BJ22" s="227" t="e">
        <f t="shared" si="29"/>
        <v>#DIV/0!</v>
      </c>
      <c r="BK22" s="227"/>
      <c r="BL22" s="227"/>
      <c r="BM22" s="227"/>
      <c r="BN22" s="227"/>
      <c r="BO22" s="359">
        <f>Тор!D35</f>
        <v>0</v>
      </c>
      <c r="BP22" s="227" t="e">
        <f t="shared" si="30"/>
        <v>#DIV/0!</v>
      </c>
      <c r="BQ22" s="227">
        <f>Тор!C37</f>
        <v>0</v>
      </c>
      <c r="BR22" s="227">
        <f>Тор!D37</f>
        <v>-0.25763000000000003</v>
      </c>
      <c r="BS22" s="227" t="e">
        <f t="shared" si="31"/>
        <v>#DIV/0!</v>
      </c>
      <c r="BT22" s="227"/>
      <c r="BU22" s="227"/>
      <c r="BV22" s="229" t="e">
        <f t="shared" si="32"/>
        <v>#DIV/0!</v>
      </c>
      <c r="BW22" s="229"/>
      <c r="BX22" s="229"/>
      <c r="BY22" s="229" t="e">
        <f t="shared" si="33"/>
        <v>#DIV/0!</v>
      </c>
      <c r="BZ22" s="188">
        <f t="shared" si="34"/>
        <v>3306.0900000000006</v>
      </c>
      <c r="CA22" s="186">
        <f t="shared" si="35"/>
        <v>3276.2908000000007</v>
      </c>
      <c r="CB22" s="227">
        <f t="shared" si="53"/>
        <v>99.09865732632808</v>
      </c>
      <c r="CC22" s="227">
        <f>Тор!C42</f>
        <v>1351.8630000000001</v>
      </c>
      <c r="CD22" s="227">
        <f>Тор!D42</f>
        <v>1351.8630000000001</v>
      </c>
      <c r="CE22" s="227">
        <f t="shared" si="36"/>
        <v>100</v>
      </c>
      <c r="CF22" s="227">
        <f>Тор!C43</f>
        <v>902</v>
      </c>
      <c r="CG22" s="227">
        <f>Тор!D43</f>
        <v>902</v>
      </c>
      <c r="CH22" s="227">
        <f t="shared" si="37"/>
        <v>100</v>
      </c>
      <c r="CI22" s="227">
        <f>Тор!C44</f>
        <v>705.51900000000001</v>
      </c>
      <c r="CJ22" s="227">
        <f>Тор!D44</f>
        <v>705.51900000000001</v>
      </c>
      <c r="CK22" s="227">
        <f t="shared" si="7"/>
        <v>100</v>
      </c>
      <c r="CL22" s="227">
        <f>Тор!C45</f>
        <v>174.108</v>
      </c>
      <c r="CM22" s="227">
        <f>Тор!D45</f>
        <v>174.108</v>
      </c>
      <c r="CN22" s="227">
        <f t="shared" si="8"/>
        <v>100</v>
      </c>
      <c r="CO22" s="227">
        <f>Тор!C46</f>
        <v>120</v>
      </c>
      <c r="CP22" s="227">
        <f>Тор!D46</f>
        <v>120</v>
      </c>
      <c r="CQ22" s="227"/>
      <c r="CR22" s="227">
        <f>Тор!C48</f>
        <v>52.6</v>
      </c>
      <c r="CS22" s="227">
        <f>Тор!D48</f>
        <v>52.6</v>
      </c>
      <c r="CT22" s="227">
        <f t="shared" si="9"/>
        <v>100</v>
      </c>
      <c r="CU22" s="227"/>
      <c r="CV22" s="227">
        <f>Тор!D49</f>
        <v>-29.799199999999999</v>
      </c>
      <c r="CW22" s="227"/>
      <c r="CX22" s="188"/>
      <c r="CY22" s="188"/>
      <c r="CZ22" s="227" t="e">
        <f t="shared" si="38"/>
        <v>#DIV/0!</v>
      </c>
      <c r="DA22" s="227"/>
      <c r="DB22" s="227"/>
      <c r="DC22" s="227"/>
      <c r="DD22" s="227"/>
      <c r="DE22" s="227"/>
      <c r="DF22" s="227"/>
      <c r="DG22" s="188">
        <f t="shared" si="39"/>
        <v>5486.6272299999991</v>
      </c>
      <c r="DH22" s="188">
        <f t="shared" si="39"/>
        <v>5483.1352699999998</v>
      </c>
      <c r="DI22" s="227">
        <f t="shared" si="40"/>
        <v>99.936355071091654</v>
      </c>
      <c r="DJ22" s="188">
        <f t="shared" si="41"/>
        <v>1145.5439999999999</v>
      </c>
      <c r="DK22" s="188">
        <f t="shared" si="41"/>
        <v>1142.3430499999999</v>
      </c>
      <c r="DL22" s="227">
        <f t="shared" si="42"/>
        <v>99.720573805982141</v>
      </c>
      <c r="DM22" s="227">
        <f>Тор!C58</f>
        <v>1119.4469999999999</v>
      </c>
      <c r="DN22" s="227">
        <f>Тор!D58</f>
        <v>1117.24605</v>
      </c>
      <c r="DO22" s="227">
        <f t="shared" si="43"/>
        <v>99.803389530723663</v>
      </c>
      <c r="DP22" s="227">
        <f>Тор!C61</f>
        <v>16.561</v>
      </c>
      <c r="DQ22" s="227">
        <f>Тор!D61</f>
        <v>16.561</v>
      </c>
      <c r="DR22" s="227">
        <f t="shared" si="44"/>
        <v>100</v>
      </c>
      <c r="DS22" s="227">
        <f>Тор!C62</f>
        <v>1</v>
      </c>
      <c r="DT22" s="227">
        <f>Тор!D62</f>
        <v>0</v>
      </c>
      <c r="DU22" s="227">
        <f t="shared" si="45"/>
        <v>0</v>
      </c>
      <c r="DV22" s="227">
        <f>Тор!C63</f>
        <v>8.5359999999999996</v>
      </c>
      <c r="DW22" s="227">
        <f>Тор!D63</f>
        <v>8.5359999999999996</v>
      </c>
      <c r="DX22" s="227">
        <f t="shared" si="46"/>
        <v>100</v>
      </c>
      <c r="DY22" s="227">
        <f>Тор!C65</f>
        <v>170.749</v>
      </c>
      <c r="DZ22" s="227">
        <f>+Тор!D64</f>
        <v>170.749</v>
      </c>
      <c r="EA22" s="227">
        <f t="shared" si="47"/>
        <v>100</v>
      </c>
      <c r="EB22" s="227">
        <f>Тор!C66</f>
        <v>22.402260000000002</v>
      </c>
      <c r="EC22" s="227">
        <f>Тор!D66</f>
        <v>22.402260000000002</v>
      </c>
      <c r="ED22" s="227">
        <f t="shared" si="48"/>
        <v>100</v>
      </c>
      <c r="EE22" s="188">
        <f>Тор!C71</f>
        <v>2336.2119499999999</v>
      </c>
      <c r="EF22" s="188">
        <f>Тор!D71</f>
        <v>2336.0209499999996</v>
      </c>
      <c r="EG22" s="227">
        <f t="shared" si="49"/>
        <v>99.991824371928232</v>
      </c>
      <c r="EH22" s="188">
        <f>Тор!C77</f>
        <v>561.42201999999997</v>
      </c>
      <c r="EI22" s="188">
        <f>Тор!D77</f>
        <v>561.42201</v>
      </c>
      <c r="EJ22" s="227">
        <f t="shared" si="50"/>
        <v>99.999998218808742</v>
      </c>
      <c r="EK22" s="188">
        <f>Тор!C81</f>
        <v>1236.298</v>
      </c>
      <c r="EL22" s="230">
        <f>Тор!D81</f>
        <v>1236.1980000000001</v>
      </c>
      <c r="EM22" s="227">
        <f t="shared" si="10"/>
        <v>99.991911335292954</v>
      </c>
      <c r="EN22" s="227">
        <f>Тор!C83</f>
        <v>4</v>
      </c>
      <c r="EO22" s="227">
        <f>Тор!D83</f>
        <v>4</v>
      </c>
      <c r="EP22" s="227">
        <f t="shared" si="11"/>
        <v>100</v>
      </c>
      <c r="EQ22" s="228">
        <f>Тор!C96</f>
        <v>10</v>
      </c>
      <c r="ER22" s="228">
        <f>Тор!D96</f>
        <v>10</v>
      </c>
      <c r="ES22" s="227">
        <f t="shared" si="51"/>
        <v>100</v>
      </c>
      <c r="ET22" s="227">
        <f>Тор!C94</f>
        <v>0</v>
      </c>
      <c r="EU22" s="227">
        <f>Тор!D94</f>
        <v>0</v>
      </c>
      <c r="EV22" s="227" t="e">
        <f t="shared" si="52"/>
        <v>#DIV/0!</v>
      </c>
      <c r="EW22" s="231">
        <f t="shared" si="12"/>
        <v>-307.037229999999</v>
      </c>
      <c r="EX22" s="231">
        <f t="shared" si="13"/>
        <v>-148.98868999999922</v>
      </c>
      <c r="EY22" s="227">
        <f t="shared" si="54"/>
        <v>48.524633315640486</v>
      </c>
      <c r="EZ22" s="232"/>
      <c r="FA22" s="233"/>
      <c r="FC22" s="233"/>
      <c r="FF22" s="325"/>
      <c r="FG22" s="325"/>
      <c r="FH22" s="325"/>
      <c r="FI22" s="325"/>
      <c r="FJ22" s="325"/>
      <c r="FK22" s="325"/>
      <c r="FL22" s="325"/>
      <c r="FM22" s="325"/>
      <c r="FN22" s="325"/>
    </row>
    <row r="23" spans="1:170" s="169" customFormat="1" ht="15" customHeight="1">
      <c r="A23" s="181">
        <v>10</v>
      </c>
      <c r="B23" s="194" t="s">
        <v>313</v>
      </c>
      <c r="C23" s="183">
        <f t="shared" si="14"/>
        <v>3838.3830000000007</v>
      </c>
      <c r="D23" s="448">
        <f t="shared" si="0"/>
        <v>3976.2265300000004</v>
      </c>
      <c r="E23" s="187">
        <f t="shared" si="1"/>
        <v>103.59118748702252</v>
      </c>
      <c r="F23" s="185">
        <f t="shared" si="2"/>
        <v>967.7</v>
      </c>
      <c r="G23" s="185">
        <f t="shared" si="3"/>
        <v>895.57057999999995</v>
      </c>
      <c r="H23" s="187">
        <f t="shared" si="15"/>
        <v>92.546303606489616</v>
      </c>
      <c r="I23" s="195">
        <f>Хор!C6</f>
        <v>85.8</v>
      </c>
      <c r="J23" s="195">
        <f>Хор!D6</f>
        <v>96.946950000000001</v>
      </c>
      <c r="K23" s="187">
        <f t="shared" si="16"/>
        <v>112.99178321678323</v>
      </c>
      <c r="L23" s="187">
        <f>Хор!C8</f>
        <v>123.43</v>
      </c>
      <c r="M23" s="187">
        <f>Хор!D8</f>
        <v>156.90252000000001</v>
      </c>
      <c r="N23" s="184">
        <f t="shared" si="17"/>
        <v>127.11862594182939</v>
      </c>
      <c r="O23" s="184">
        <f>Хор!C9</f>
        <v>1.32</v>
      </c>
      <c r="P23" s="184">
        <f>Хор!D9</f>
        <v>1.5110600000000001</v>
      </c>
      <c r="Q23" s="184">
        <f t="shared" si="18"/>
        <v>114.47424242424242</v>
      </c>
      <c r="R23" s="184">
        <f>Хор!C10</f>
        <v>206.15</v>
      </c>
      <c r="S23" s="184">
        <f>Хор!D10</f>
        <v>228.88405</v>
      </c>
      <c r="T23" s="184">
        <f t="shared" si="19"/>
        <v>111.02791656560757</v>
      </c>
      <c r="U23" s="184">
        <f>Хор!C11</f>
        <v>0</v>
      </c>
      <c r="V23" s="397">
        <f>Хор!D11</f>
        <v>-35.155079999999998</v>
      </c>
      <c r="W23" s="184" t="e">
        <f t="shared" si="20"/>
        <v>#DIV/0!</v>
      </c>
      <c r="X23" s="195">
        <f>Хор!C13</f>
        <v>10</v>
      </c>
      <c r="Y23" s="195">
        <f>Хор!D13</f>
        <v>4.3319999999999999</v>
      </c>
      <c r="Z23" s="187">
        <f t="shared" si="21"/>
        <v>43.32</v>
      </c>
      <c r="AA23" s="195">
        <f>Хор!C15</f>
        <v>98</v>
      </c>
      <c r="AB23" s="195">
        <f>Хор!D15</f>
        <v>38.300579999999997</v>
      </c>
      <c r="AC23" s="187">
        <f t="shared" si="22"/>
        <v>39.082224489795912</v>
      </c>
      <c r="AD23" s="195">
        <f>Хор!C16</f>
        <v>390</v>
      </c>
      <c r="AE23" s="195">
        <f>Хор!D16</f>
        <v>375.41160000000002</v>
      </c>
      <c r="AF23" s="187">
        <f t="shared" si="4"/>
        <v>96.259384615384619</v>
      </c>
      <c r="AG23" s="187">
        <f>Хор!C18</f>
        <v>20</v>
      </c>
      <c r="AH23" s="187">
        <f>Хор!D18</f>
        <v>21.4</v>
      </c>
      <c r="AI23" s="187">
        <f t="shared" si="23"/>
        <v>106.99999999999999</v>
      </c>
      <c r="AJ23" s="187"/>
      <c r="AK23" s="187"/>
      <c r="AL23" s="187" t="e">
        <f t="shared" si="5"/>
        <v>#DIV/0!</v>
      </c>
      <c r="AM23" s="195">
        <v>0</v>
      </c>
      <c r="AN23" s="195">
        <v>0</v>
      </c>
      <c r="AO23" s="187" t="e">
        <f t="shared" si="6"/>
        <v>#DIV/0!</v>
      </c>
      <c r="AP23" s="195">
        <f>Хор!C27</f>
        <v>33</v>
      </c>
      <c r="AQ23" s="435">
        <f>Хор!D27</f>
        <v>7.0369000000000002</v>
      </c>
      <c r="AR23" s="187">
        <f t="shared" si="24"/>
        <v>21.323939393939394</v>
      </c>
      <c r="AS23" s="188">
        <f>Хор!C28</f>
        <v>0</v>
      </c>
      <c r="AT23" s="395">
        <f>Хор!D28</f>
        <v>0</v>
      </c>
      <c r="AU23" s="187" t="e">
        <f t="shared" si="25"/>
        <v>#DIV/0!</v>
      </c>
      <c r="AV23" s="195"/>
      <c r="AW23" s="195"/>
      <c r="AX23" s="187" t="e">
        <f t="shared" si="26"/>
        <v>#DIV/0!</v>
      </c>
      <c r="AY23" s="187"/>
      <c r="AZ23" s="187">
        <f>Хор!D29</f>
        <v>0</v>
      </c>
      <c r="BA23" s="187" t="e">
        <f t="shared" si="27"/>
        <v>#DIV/0!</v>
      </c>
      <c r="BB23" s="187"/>
      <c r="BC23" s="187"/>
      <c r="BD23" s="187"/>
      <c r="BE23" s="187">
        <f>Хор!C33</f>
        <v>0</v>
      </c>
      <c r="BF23" s="187">
        <f>Хор!D33</f>
        <v>0</v>
      </c>
      <c r="BG23" s="187" t="e">
        <f t="shared" si="28"/>
        <v>#DIV/0!</v>
      </c>
      <c r="BH23" s="187"/>
      <c r="BI23" s="187"/>
      <c r="BJ23" s="187" t="e">
        <f t="shared" si="29"/>
        <v>#DIV/0!</v>
      </c>
      <c r="BK23" s="187"/>
      <c r="BL23" s="187"/>
      <c r="BM23" s="187"/>
      <c r="BN23" s="187"/>
      <c r="BO23" s="358"/>
      <c r="BP23" s="187" t="e">
        <f t="shared" si="30"/>
        <v>#DIV/0!</v>
      </c>
      <c r="BQ23" s="187">
        <f>Хор!C34</f>
        <v>0</v>
      </c>
      <c r="BR23" s="187">
        <f>Хор!D34</f>
        <v>0</v>
      </c>
      <c r="BS23" s="187" t="e">
        <f t="shared" si="31"/>
        <v>#DIV/0!</v>
      </c>
      <c r="BT23" s="187"/>
      <c r="BU23" s="187"/>
      <c r="BV23" s="196" t="e">
        <f t="shared" si="32"/>
        <v>#DIV/0!</v>
      </c>
      <c r="BW23" s="196"/>
      <c r="BX23" s="196"/>
      <c r="BY23" s="196" t="e">
        <f t="shared" si="33"/>
        <v>#DIV/0!</v>
      </c>
      <c r="BZ23" s="186">
        <f t="shared" si="34"/>
        <v>2870.6830000000004</v>
      </c>
      <c r="CA23" s="186">
        <f t="shared" si="35"/>
        <v>3080.6559500000003</v>
      </c>
      <c r="CB23" s="187">
        <f t="shared" si="53"/>
        <v>107.31438999011733</v>
      </c>
      <c r="CC23" s="187">
        <f>Хор!C39</f>
        <v>1258.9960000000001</v>
      </c>
      <c r="CD23" s="187">
        <f>Хор!D39</f>
        <v>1258.9960000000001</v>
      </c>
      <c r="CE23" s="187">
        <f t="shared" si="36"/>
        <v>100</v>
      </c>
      <c r="CF23" s="187">
        <f>Хор!C41</f>
        <v>930</v>
      </c>
      <c r="CG23" s="187">
        <f>Хор!D41</f>
        <v>930</v>
      </c>
      <c r="CH23" s="187">
        <f t="shared" si="37"/>
        <v>100</v>
      </c>
      <c r="CI23" s="187">
        <f>Хор!C42</f>
        <v>502.952</v>
      </c>
      <c r="CJ23" s="187">
        <f>Хор!D42</f>
        <v>502.952</v>
      </c>
      <c r="CK23" s="187">
        <f t="shared" si="7"/>
        <v>100</v>
      </c>
      <c r="CL23" s="187">
        <f>Хор!C43</f>
        <v>88.734999999999999</v>
      </c>
      <c r="CM23" s="187">
        <f>Хор!D43</f>
        <v>88.734999999999999</v>
      </c>
      <c r="CN23" s="187">
        <f t="shared" si="8"/>
        <v>100</v>
      </c>
      <c r="CO23" s="187">
        <f>Хор!C44</f>
        <v>0</v>
      </c>
      <c r="CP23" s="187">
        <f>Хор!D44</f>
        <v>0</v>
      </c>
      <c r="CQ23" s="187"/>
      <c r="CR23" s="187">
        <f>Хор!C45</f>
        <v>90</v>
      </c>
      <c r="CS23" s="187">
        <f>Хор!D45</f>
        <v>299.97295000000003</v>
      </c>
      <c r="CT23" s="187">
        <f t="shared" si="9"/>
        <v>333.30327777777779</v>
      </c>
      <c r="CU23" s="187"/>
      <c r="CV23" s="187"/>
      <c r="CW23" s="187"/>
      <c r="CX23" s="195"/>
      <c r="CY23" s="195"/>
      <c r="CZ23" s="187" t="e">
        <f t="shared" si="38"/>
        <v>#DIV/0!</v>
      </c>
      <c r="DA23" s="187"/>
      <c r="DB23" s="187"/>
      <c r="DC23" s="187"/>
      <c r="DD23" s="187"/>
      <c r="DE23" s="187">
        <f>Хор!D48</f>
        <v>0</v>
      </c>
      <c r="DF23" s="187"/>
      <c r="DG23" s="195">
        <f t="shared" si="39"/>
        <v>3821.6225600000002</v>
      </c>
      <c r="DH23" s="195">
        <f t="shared" si="39"/>
        <v>3638.7764299999999</v>
      </c>
      <c r="DI23" s="187">
        <f t="shared" si="40"/>
        <v>95.215484336056448</v>
      </c>
      <c r="DJ23" s="195">
        <f t="shared" si="41"/>
        <v>1157.8530000000001</v>
      </c>
      <c r="DK23" s="195">
        <f t="shared" si="41"/>
        <v>1087.30575</v>
      </c>
      <c r="DL23" s="187">
        <f t="shared" si="42"/>
        <v>93.907063331873729</v>
      </c>
      <c r="DM23" s="187">
        <f>Хор!C56</f>
        <v>1150.144</v>
      </c>
      <c r="DN23" s="187">
        <f>Хор!D56</f>
        <v>1084.59725</v>
      </c>
      <c r="DO23" s="187">
        <f t="shared" si="43"/>
        <v>94.30099622308164</v>
      </c>
      <c r="DP23" s="187">
        <f>Хор!C59</f>
        <v>0</v>
      </c>
      <c r="DQ23" s="187">
        <f>Хор!D59</f>
        <v>0</v>
      </c>
      <c r="DR23" s="187" t="e">
        <f t="shared" si="44"/>
        <v>#DIV/0!</v>
      </c>
      <c r="DS23" s="187">
        <f>Хор!C60</f>
        <v>5</v>
      </c>
      <c r="DT23" s="187">
        <f>Хор!D60</f>
        <v>0</v>
      </c>
      <c r="DU23" s="187">
        <f t="shared" si="45"/>
        <v>0</v>
      </c>
      <c r="DV23" s="187">
        <f>Хор!C61</f>
        <v>2.7090000000000001</v>
      </c>
      <c r="DW23" s="187">
        <f>Хор!D61</f>
        <v>2.7084999999999999</v>
      </c>
      <c r="DX23" s="187">
        <f t="shared" si="46"/>
        <v>99.981543004798809</v>
      </c>
      <c r="DY23" s="187">
        <f>Хор!C63</f>
        <v>85.376000000000005</v>
      </c>
      <c r="DZ23" s="187">
        <f>Хор!D63</f>
        <v>85.376000000000005</v>
      </c>
      <c r="EA23" s="187">
        <f t="shared" si="47"/>
        <v>100</v>
      </c>
      <c r="EB23" s="187">
        <f>Хор!C64</f>
        <v>4.8029999999999999</v>
      </c>
      <c r="EC23" s="187">
        <f>Хор!D64</f>
        <v>2.78966</v>
      </c>
      <c r="ED23" s="187">
        <f t="shared" si="48"/>
        <v>58.081615656881112</v>
      </c>
      <c r="EE23" s="195">
        <f>Хор!C69</f>
        <v>987.54556000000002</v>
      </c>
      <c r="EF23" s="195">
        <f>Хор!D69</f>
        <v>952.18002000000001</v>
      </c>
      <c r="EG23" s="187">
        <f t="shared" si="49"/>
        <v>96.4188447163896</v>
      </c>
      <c r="EH23" s="195">
        <f>Хор!C74</f>
        <v>205.208</v>
      </c>
      <c r="EI23" s="195">
        <f>Хор!D74</f>
        <v>187.38300000000001</v>
      </c>
      <c r="EJ23" s="187">
        <f t="shared" si="50"/>
        <v>91.313691474016608</v>
      </c>
      <c r="EK23" s="195">
        <f>Хор!C78</f>
        <v>1377.837</v>
      </c>
      <c r="EL23" s="197">
        <f>Хор!D78</f>
        <v>1320.742</v>
      </c>
      <c r="EM23" s="187">
        <f t="shared" si="10"/>
        <v>95.856186181674602</v>
      </c>
      <c r="EN23" s="187">
        <f>Хор!C80</f>
        <v>0</v>
      </c>
      <c r="EO23" s="187">
        <f>Хор!D80</f>
        <v>0</v>
      </c>
      <c r="EP23" s="187" t="e">
        <f t="shared" si="11"/>
        <v>#DIV/0!</v>
      </c>
      <c r="EQ23" s="198">
        <f>Хор!C85</f>
        <v>3</v>
      </c>
      <c r="ER23" s="198">
        <f>Хор!D85</f>
        <v>3</v>
      </c>
      <c r="ES23" s="187">
        <f t="shared" si="51"/>
        <v>100</v>
      </c>
      <c r="ET23" s="187">
        <f>Хор!C91</f>
        <v>0</v>
      </c>
      <c r="EU23" s="187">
        <f>Хор!D91</f>
        <v>0</v>
      </c>
      <c r="EV23" s="184" t="e">
        <f t="shared" si="52"/>
        <v>#DIV/0!</v>
      </c>
      <c r="EW23" s="191">
        <f t="shared" si="12"/>
        <v>16.760440000000472</v>
      </c>
      <c r="EX23" s="191">
        <f t="shared" si="13"/>
        <v>337.45010000000048</v>
      </c>
      <c r="EY23" s="184">
        <f t="shared" si="54"/>
        <v>2013.3725606248461</v>
      </c>
      <c r="EZ23" s="192"/>
      <c r="FA23" s="193"/>
      <c r="FC23" s="193"/>
    </row>
    <row r="24" spans="1:170" s="407" customFormat="1" ht="15" customHeight="1">
      <c r="A24" s="402">
        <v>11</v>
      </c>
      <c r="B24" s="194" t="s">
        <v>314</v>
      </c>
      <c r="C24" s="448">
        <f t="shared" si="14"/>
        <v>3476.33</v>
      </c>
      <c r="D24" s="448">
        <f t="shared" si="0"/>
        <v>3487.3638200000005</v>
      </c>
      <c r="E24" s="187">
        <f t="shared" si="1"/>
        <v>100.31739852085391</v>
      </c>
      <c r="F24" s="198">
        <f t="shared" si="2"/>
        <v>1126.1199999999999</v>
      </c>
      <c r="G24" s="198">
        <f t="shared" si="3"/>
        <v>1137.1938200000002</v>
      </c>
      <c r="H24" s="187">
        <f t="shared" si="15"/>
        <v>100.98336056548149</v>
      </c>
      <c r="I24" s="195">
        <f>Чум!C6</f>
        <v>95.3</v>
      </c>
      <c r="J24" s="195">
        <f>Чум!D6</f>
        <v>89.812139999999999</v>
      </c>
      <c r="K24" s="187">
        <f t="shared" si="16"/>
        <v>94.241490031479529</v>
      </c>
      <c r="L24" s="187">
        <f>Чум!C8</f>
        <v>117.05</v>
      </c>
      <c r="M24" s="187">
        <f>Чум!D8</f>
        <v>148.80438000000001</v>
      </c>
      <c r="N24" s="187">
        <f t="shared" si="17"/>
        <v>127.12890217855619</v>
      </c>
      <c r="O24" s="187">
        <f>Чум!C9</f>
        <v>1.26</v>
      </c>
      <c r="P24" s="187">
        <f>Чум!D9</f>
        <v>1.4331400000000001</v>
      </c>
      <c r="Q24" s="187">
        <f t="shared" si="18"/>
        <v>113.74126984126984</v>
      </c>
      <c r="R24" s="187">
        <f>Чум!C10</f>
        <v>195.51</v>
      </c>
      <c r="S24" s="187">
        <f>Чум!D10</f>
        <v>217.07069000000001</v>
      </c>
      <c r="T24" s="187">
        <f t="shared" si="19"/>
        <v>111.02792184542992</v>
      </c>
      <c r="U24" s="187">
        <f>Чум!C11</f>
        <v>0</v>
      </c>
      <c r="V24" s="403">
        <f>Чум!D11</f>
        <v>-33.340620000000001</v>
      </c>
      <c r="W24" s="187" t="e">
        <f t="shared" si="20"/>
        <v>#DIV/0!</v>
      </c>
      <c r="X24" s="195">
        <f>Чум!C13</f>
        <v>65</v>
      </c>
      <c r="Y24" s="195">
        <f>Чум!D13</f>
        <v>82.355959999999996</v>
      </c>
      <c r="Z24" s="187">
        <f t="shared" si="21"/>
        <v>126.70147692307691</v>
      </c>
      <c r="AA24" s="195">
        <f>Чум!C15</f>
        <v>75</v>
      </c>
      <c r="AB24" s="195">
        <f>Чум!D15</f>
        <v>88.531620000000004</v>
      </c>
      <c r="AC24" s="187">
        <f t="shared" si="22"/>
        <v>118.04216000000001</v>
      </c>
      <c r="AD24" s="195">
        <f>Чум!C16</f>
        <v>460</v>
      </c>
      <c r="AE24" s="195">
        <f>Чум!D16</f>
        <v>456.60867000000002</v>
      </c>
      <c r="AF24" s="187">
        <f t="shared" si="4"/>
        <v>99.262754347826089</v>
      </c>
      <c r="AG24" s="187">
        <f>Чум!C18</f>
        <v>10</v>
      </c>
      <c r="AH24" s="187">
        <f>Чум!D18</f>
        <v>9.9499999999999993</v>
      </c>
      <c r="AI24" s="187">
        <f t="shared" si="23"/>
        <v>99.499999999999986</v>
      </c>
      <c r="AJ24" s="187">
        <f>Чум!C22</f>
        <v>0</v>
      </c>
      <c r="AK24" s="187">
        <f>Чум!D20</f>
        <v>0</v>
      </c>
      <c r="AL24" s="187" t="e">
        <f>AK24/AJ24*100</f>
        <v>#DIV/0!</v>
      </c>
      <c r="AM24" s="195">
        <v>0</v>
      </c>
      <c r="AN24" s="195"/>
      <c r="AO24" s="187" t="e">
        <f t="shared" si="6"/>
        <v>#DIV/0!</v>
      </c>
      <c r="AP24" s="195">
        <f>Чум!C27</f>
        <v>80</v>
      </c>
      <c r="AQ24" s="435">
        <f>Чум!D27</f>
        <v>33.747</v>
      </c>
      <c r="AR24" s="187">
        <f t="shared" si="24"/>
        <v>42.183749999999996</v>
      </c>
      <c r="AS24" s="195">
        <f>Чум!C28</f>
        <v>2</v>
      </c>
      <c r="AT24" s="395">
        <f>Чум!D28</f>
        <v>0</v>
      </c>
      <c r="AU24" s="187">
        <f t="shared" si="25"/>
        <v>0</v>
      </c>
      <c r="AV24" s="195"/>
      <c r="AW24" s="195"/>
      <c r="AX24" s="187" t="e">
        <f t="shared" si="26"/>
        <v>#DIV/0!</v>
      </c>
      <c r="AY24" s="187">
        <f>Чум!C30</f>
        <v>25</v>
      </c>
      <c r="AZ24" s="187">
        <f>Чум!D30</f>
        <v>42.222000000000001</v>
      </c>
      <c r="BA24" s="187">
        <f t="shared" si="27"/>
        <v>168.88800000000001</v>
      </c>
      <c r="BB24" s="187"/>
      <c r="BC24" s="187"/>
      <c r="BD24" s="187"/>
      <c r="BE24" s="187">
        <f>Чум!C33</f>
        <v>0</v>
      </c>
      <c r="BF24" s="187">
        <f>Чум!D33</f>
        <v>0</v>
      </c>
      <c r="BG24" s="187" t="e">
        <f t="shared" si="28"/>
        <v>#DIV/0!</v>
      </c>
      <c r="BH24" s="187"/>
      <c r="BI24" s="187"/>
      <c r="BJ24" s="187" t="e">
        <f t="shared" si="29"/>
        <v>#DIV/0!</v>
      </c>
      <c r="BK24" s="187"/>
      <c r="BL24" s="187"/>
      <c r="BM24" s="187"/>
      <c r="BN24" s="187"/>
      <c r="BO24" s="358">
        <f>Чум!D34</f>
        <v>0</v>
      </c>
      <c r="BP24" s="187" t="e">
        <f t="shared" si="30"/>
        <v>#DIV/0!</v>
      </c>
      <c r="BQ24" s="187">
        <f>Чум!C37</f>
        <v>0</v>
      </c>
      <c r="BR24" s="187">
        <f>Чум!D37</f>
        <v>-1.16E-3</v>
      </c>
      <c r="BS24" s="187" t="e">
        <f t="shared" si="31"/>
        <v>#DIV/0!</v>
      </c>
      <c r="BT24" s="187"/>
      <c r="BU24" s="187"/>
      <c r="BV24" s="196" t="e">
        <f t="shared" si="32"/>
        <v>#DIV/0!</v>
      </c>
      <c r="BW24" s="196"/>
      <c r="BX24" s="196"/>
      <c r="BY24" s="196" t="e">
        <f t="shared" si="33"/>
        <v>#DIV/0!</v>
      </c>
      <c r="BZ24" s="195">
        <f t="shared" si="34"/>
        <v>2350.21</v>
      </c>
      <c r="CA24" s="195">
        <f t="shared" si="35"/>
        <v>2350.17</v>
      </c>
      <c r="CB24" s="187">
        <f t="shared" si="53"/>
        <v>99.998298024431861</v>
      </c>
      <c r="CC24" s="187">
        <f>Чум!C42</f>
        <v>1906.663</v>
      </c>
      <c r="CD24" s="187">
        <f>Чум!D42</f>
        <v>1906.663</v>
      </c>
      <c r="CE24" s="187">
        <f t="shared" si="36"/>
        <v>100</v>
      </c>
      <c r="CF24" s="187">
        <f>Чум!C43</f>
        <v>0</v>
      </c>
      <c r="CG24" s="187">
        <f>Чум!D43</f>
        <v>0</v>
      </c>
      <c r="CH24" s="187" t="e">
        <f t="shared" si="37"/>
        <v>#DIV/0!</v>
      </c>
      <c r="CI24" s="187">
        <f>Чум!C44</f>
        <v>321.71199999999999</v>
      </c>
      <c r="CJ24" s="187">
        <f>Чум!D44</f>
        <v>321.71199999999999</v>
      </c>
      <c r="CK24" s="187">
        <f t="shared" si="7"/>
        <v>100</v>
      </c>
      <c r="CL24" s="187">
        <f>Чум!C45</f>
        <v>88.734999999999999</v>
      </c>
      <c r="CM24" s="187">
        <f>Чум!D45</f>
        <v>88.734999999999999</v>
      </c>
      <c r="CN24" s="187">
        <f t="shared" si="8"/>
        <v>100</v>
      </c>
      <c r="CO24" s="187">
        <f>Чум!C46</f>
        <v>0</v>
      </c>
      <c r="CP24" s="187">
        <f>Чум!D46</f>
        <v>0</v>
      </c>
      <c r="CQ24" s="187"/>
      <c r="CR24" s="187">
        <f>Чум!C50</f>
        <v>33.1</v>
      </c>
      <c r="CS24" s="187">
        <f>Чум!D50</f>
        <v>33.06</v>
      </c>
      <c r="CT24" s="187">
        <f t="shared" si="9"/>
        <v>99.879154078549846</v>
      </c>
      <c r="CU24" s="187"/>
      <c r="CV24" s="187"/>
      <c r="CW24" s="187"/>
      <c r="CX24" s="195"/>
      <c r="CY24" s="195"/>
      <c r="CZ24" s="187" t="e">
        <f t="shared" si="38"/>
        <v>#DIV/0!</v>
      </c>
      <c r="DA24" s="187"/>
      <c r="DB24" s="187"/>
      <c r="DC24" s="187"/>
      <c r="DD24" s="187"/>
      <c r="DE24" s="187"/>
      <c r="DF24" s="187"/>
      <c r="DG24" s="195">
        <f t="shared" si="39"/>
        <v>3549.9965300000003</v>
      </c>
      <c r="DH24" s="195">
        <f t="shared" si="39"/>
        <v>3450.0852899999995</v>
      </c>
      <c r="DI24" s="187">
        <f t="shared" si="40"/>
        <v>97.185596122258715</v>
      </c>
      <c r="DJ24" s="195">
        <f t="shared" si="41"/>
        <v>1330.1880000000001</v>
      </c>
      <c r="DK24" s="195">
        <f t="shared" si="41"/>
        <v>1308.39598</v>
      </c>
      <c r="DL24" s="187">
        <f t="shared" si="42"/>
        <v>98.361733830105209</v>
      </c>
      <c r="DM24" s="187">
        <f>Чум!C58</f>
        <v>1310.2850000000001</v>
      </c>
      <c r="DN24" s="187">
        <f>Чум!D58</f>
        <v>1293.5484799999999</v>
      </c>
      <c r="DO24" s="187">
        <f t="shared" si="43"/>
        <v>98.722680943458855</v>
      </c>
      <c r="DP24" s="187">
        <f>Чум!C61</f>
        <v>0</v>
      </c>
      <c r="DQ24" s="187">
        <f>Чум!D61</f>
        <v>0</v>
      </c>
      <c r="DR24" s="187" t="e">
        <f t="shared" si="44"/>
        <v>#DIV/0!</v>
      </c>
      <c r="DS24" s="187">
        <f>Чум!C62</f>
        <v>5</v>
      </c>
      <c r="DT24" s="187">
        <f>Чум!D62</f>
        <v>0</v>
      </c>
      <c r="DU24" s="187">
        <f t="shared" si="45"/>
        <v>0</v>
      </c>
      <c r="DV24" s="187">
        <f>Чум!C63</f>
        <v>14.903</v>
      </c>
      <c r="DW24" s="187">
        <f>Чум!D63</f>
        <v>14.8475</v>
      </c>
      <c r="DX24" s="187">
        <f t="shared" si="46"/>
        <v>99.627591760048304</v>
      </c>
      <c r="DY24" s="187">
        <f>Чум!C65</f>
        <v>85.376000000000005</v>
      </c>
      <c r="DZ24" s="187">
        <f>Чум!D65</f>
        <v>85.376000000000005</v>
      </c>
      <c r="EA24" s="187">
        <f t="shared" si="47"/>
        <v>100</v>
      </c>
      <c r="EB24" s="187">
        <f>Чум!C66</f>
        <v>4.25</v>
      </c>
      <c r="EC24" s="187">
        <f>Чум!D66</f>
        <v>4.25</v>
      </c>
      <c r="ED24" s="187">
        <f t="shared" si="48"/>
        <v>100</v>
      </c>
      <c r="EE24" s="195">
        <f>Чум!C71</f>
        <v>729.73253</v>
      </c>
      <c r="EF24" s="195">
        <f>Чум!D71</f>
        <v>704.5656899999999</v>
      </c>
      <c r="EG24" s="187">
        <f t="shared" si="49"/>
        <v>96.551224049173186</v>
      </c>
      <c r="EH24" s="195">
        <f>Чум!C76</f>
        <v>525.65</v>
      </c>
      <c r="EI24" s="195">
        <f>Чум!D76</f>
        <v>473.13261999999997</v>
      </c>
      <c r="EJ24" s="187">
        <f t="shared" si="50"/>
        <v>90.009059259963848</v>
      </c>
      <c r="EK24" s="195">
        <f>Чум!C80</f>
        <v>872.8</v>
      </c>
      <c r="EL24" s="197">
        <f>Чум!D80</f>
        <v>872.8</v>
      </c>
      <c r="EM24" s="187">
        <f t="shared" si="10"/>
        <v>100</v>
      </c>
      <c r="EN24" s="187">
        <f>Чум!C82</f>
        <v>0</v>
      </c>
      <c r="EO24" s="187">
        <f>Чум!D82</f>
        <v>0</v>
      </c>
      <c r="EP24" s="187" t="e">
        <f t="shared" si="11"/>
        <v>#DIV/0!</v>
      </c>
      <c r="EQ24" s="198">
        <f>Чум!C87</f>
        <v>2</v>
      </c>
      <c r="ER24" s="198">
        <f>Чум!D87</f>
        <v>1.5649999999999999</v>
      </c>
      <c r="ES24" s="187">
        <f t="shared" si="51"/>
        <v>78.25</v>
      </c>
      <c r="ET24" s="187">
        <f>Чум!C93</f>
        <v>0</v>
      </c>
      <c r="EU24" s="187">
        <f>Чум!D93</f>
        <v>0</v>
      </c>
      <c r="EV24" s="187" t="e">
        <f t="shared" si="52"/>
        <v>#DIV/0!</v>
      </c>
      <c r="EW24" s="404">
        <f t="shared" si="12"/>
        <v>-73.666530000000421</v>
      </c>
      <c r="EX24" s="404">
        <f t="shared" si="13"/>
        <v>37.278530000000956</v>
      </c>
      <c r="EY24" s="187">
        <f t="shared" si="54"/>
        <v>-50.604433248044586</v>
      </c>
      <c r="EZ24" s="405"/>
      <c r="FA24" s="406"/>
      <c r="FC24" s="406"/>
    </row>
    <row r="25" spans="1:170" s="234" customFormat="1" ht="15" customHeight="1">
      <c r="A25" s="225">
        <v>12</v>
      </c>
      <c r="B25" s="226" t="s">
        <v>315</v>
      </c>
      <c r="C25" s="449">
        <f t="shared" si="14"/>
        <v>3484.6099999999997</v>
      </c>
      <c r="D25" s="449">
        <f t="shared" si="0"/>
        <v>3385.5817899999997</v>
      </c>
      <c r="E25" s="227">
        <f t="shared" si="1"/>
        <v>97.158126447436004</v>
      </c>
      <c r="F25" s="228">
        <f t="shared" si="2"/>
        <v>909.76</v>
      </c>
      <c r="G25" s="228">
        <f t="shared" si="3"/>
        <v>810.73178999999993</v>
      </c>
      <c r="H25" s="227">
        <f t="shared" si="15"/>
        <v>89.114908327470971</v>
      </c>
      <c r="I25" s="188">
        <f>Шать!C6</f>
        <v>33.4</v>
      </c>
      <c r="J25" s="188">
        <f>Шать!D6</f>
        <v>39.935600000000001</v>
      </c>
      <c r="K25" s="227">
        <f t="shared" si="16"/>
        <v>119.56766467065869</v>
      </c>
      <c r="L25" s="227">
        <f>Шать!C8</f>
        <v>120.24</v>
      </c>
      <c r="M25" s="227">
        <f>Шать!D8</f>
        <v>152.85343</v>
      </c>
      <c r="N25" s="227">
        <f t="shared" si="17"/>
        <v>127.12361111111112</v>
      </c>
      <c r="O25" s="227">
        <f>Шать!C9</f>
        <v>1.29</v>
      </c>
      <c r="P25" s="227">
        <f>Шать!D9</f>
        <v>1.4721</v>
      </c>
      <c r="Q25" s="227">
        <f t="shared" si="18"/>
        <v>114.11627906976744</v>
      </c>
      <c r="R25" s="227">
        <f>Шать!C10</f>
        <v>200.83</v>
      </c>
      <c r="S25" s="227">
        <f>Шать!D10</f>
        <v>222.97738000000001</v>
      </c>
      <c r="T25" s="227">
        <f t="shared" si="19"/>
        <v>111.02792411492305</v>
      </c>
      <c r="U25" s="227">
        <f>Шать!C11</f>
        <v>0</v>
      </c>
      <c r="V25" s="398">
        <f>Шать!D11</f>
        <v>-34.247790000000002</v>
      </c>
      <c r="W25" s="227" t="e">
        <f t="shared" si="20"/>
        <v>#DIV/0!</v>
      </c>
      <c r="X25" s="188">
        <f>Шать!C13</f>
        <v>10</v>
      </c>
      <c r="Y25" s="188">
        <f>Шать!D13</f>
        <v>9.2697500000000002</v>
      </c>
      <c r="Z25" s="227">
        <f t="shared" si="21"/>
        <v>92.697500000000005</v>
      </c>
      <c r="AA25" s="188">
        <f>Шать!C15</f>
        <v>40</v>
      </c>
      <c r="AB25" s="188">
        <f>Шать!D15</f>
        <v>36.797069999999998</v>
      </c>
      <c r="AC25" s="227">
        <f t="shared" si="22"/>
        <v>91.992674999999991</v>
      </c>
      <c r="AD25" s="188">
        <f>Шать!C16</f>
        <v>315</v>
      </c>
      <c r="AE25" s="188">
        <f>Шать!D16</f>
        <v>251.91353000000001</v>
      </c>
      <c r="AF25" s="227">
        <f t="shared" si="4"/>
        <v>79.972549206349214</v>
      </c>
      <c r="AG25" s="227">
        <f>Шать!C18</f>
        <v>7</v>
      </c>
      <c r="AH25" s="227">
        <f>Шать!D18</f>
        <v>1.6</v>
      </c>
      <c r="AI25" s="227">
        <f t="shared" si="23"/>
        <v>22.857142857142858</v>
      </c>
      <c r="AJ25" s="227"/>
      <c r="AK25" s="227"/>
      <c r="AL25" s="227" t="e">
        <f>AJ25/AK25*100</f>
        <v>#DIV/0!</v>
      </c>
      <c r="AM25" s="188">
        <v>0</v>
      </c>
      <c r="AN25" s="188">
        <f>0</f>
        <v>0</v>
      </c>
      <c r="AO25" s="227" t="e">
        <f t="shared" si="6"/>
        <v>#DIV/0!</v>
      </c>
      <c r="AP25" s="188">
        <f>Шать!C27</f>
        <v>115</v>
      </c>
      <c r="AQ25" s="435">
        <f>Шать!D27</f>
        <v>74.575999999999993</v>
      </c>
      <c r="AR25" s="227">
        <f t="shared" si="24"/>
        <v>64.848695652173902</v>
      </c>
      <c r="AS25" s="188">
        <f>Шать!C28</f>
        <v>17</v>
      </c>
      <c r="AT25" s="396">
        <f>Шать!D28</f>
        <v>26.011199999999999</v>
      </c>
      <c r="AU25" s="227">
        <f t="shared" si="25"/>
        <v>153.00705882352941</v>
      </c>
      <c r="AV25" s="188"/>
      <c r="AW25" s="188"/>
      <c r="AX25" s="227" t="e">
        <f t="shared" si="26"/>
        <v>#DIV/0!</v>
      </c>
      <c r="AY25" s="227">
        <f>Шать!C29</f>
        <v>50</v>
      </c>
      <c r="AZ25" s="227">
        <f>Шать!D29</f>
        <v>21.386410000000001</v>
      </c>
      <c r="BA25" s="227">
        <f t="shared" si="27"/>
        <v>42.772820000000003</v>
      </c>
      <c r="BB25" s="227"/>
      <c r="BC25" s="227"/>
      <c r="BD25" s="227"/>
      <c r="BE25" s="227">
        <f>Шать!C33</f>
        <v>0</v>
      </c>
      <c r="BF25" s="227">
        <f>Шать!D33</f>
        <v>0</v>
      </c>
      <c r="BG25" s="227" t="e">
        <f t="shared" si="28"/>
        <v>#DIV/0!</v>
      </c>
      <c r="BH25" s="227"/>
      <c r="BI25" s="227"/>
      <c r="BJ25" s="227" t="e">
        <f t="shared" si="29"/>
        <v>#DIV/0!</v>
      </c>
      <c r="BK25" s="227"/>
      <c r="BL25" s="227"/>
      <c r="BM25" s="227"/>
      <c r="BN25" s="227">
        <f>Шать!C34</f>
        <v>0</v>
      </c>
      <c r="BO25" s="359">
        <f>Шать!D34</f>
        <v>6.3152100000000004</v>
      </c>
      <c r="BP25" s="227" t="e">
        <f t="shared" si="30"/>
        <v>#DIV/0!</v>
      </c>
      <c r="BQ25" s="227">
        <f>Шать!C37</f>
        <v>0</v>
      </c>
      <c r="BR25" s="227">
        <f>Шать!D39</f>
        <v>-0.12809999999999999</v>
      </c>
      <c r="BS25" s="227" t="e">
        <f t="shared" si="31"/>
        <v>#DIV/0!</v>
      </c>
      <c r="BT25" s="227"/>
      <c r="BU25" s="227"/>
      <c r="BV25" s="229" t="e">
        <f t="shared" si="32"/>
        <v>#DIV/0!</v>
      </c>
      <c r="BW25" s="229"/>
      <c r="BX25" s="229"/>
      <c r="BY25" s="229" t="e">
        <f t="shared" si="33"/>
        <v>#DIV/0!</v>
      </c>
      <c r="BZ25" s="188">
        <f t="shared" si="34"/>
        <v>2574.85</v>
      </c>
      <c r="CA25" s="186">
        <f t="shared" si="35"/>
        <v>2574.85</v>
      </c>
      <c r="CB25" s="227">
        <f t="shared" si="53"/>
        <v>100</v>
      </c>
      <c r="CC25" s="227">
        <f>Шать!C42</f>
        <v>1243.7660000000001</v>
      </c>
      <c r="CD25" s="227">
        <f>Шать!D42</f>
        <v>1243.7660000000001</v>
      </c>
      <c r="CE25" s="227">
        <f t="shared" si="36"/>
        <v>100</v>
      </c>
      <c r="CF25" s="227">
        <f>Шать!C43</f>
        <v>400</v>
      </c>
      <c r="CG25" s="227">
        <f>Шать!D43</f>
        <v>400</v>
      </c>
      <c r="CH25" s="227">
        <f t="shared" si="37"/>
        <v>100</v>
      </c>
      <c r="CI25" s="227">
        <f>Шать!C44</f>
        <v>745.94799999999998</v>
      </c>
      <c r="CJ25" s="227">
        <f>Шать!D44</f>
        <v>745.94799999999998</v>
      </c>
      <c r="CK25" s="227">
        <f t="shared" si="7"/>
        <v>100</v>
      </c>
      <c r="CL25" s="227">
        <f>Шать!C45</f>
        <v>88.036000000000001</v>
      </c>
      <c r="CM25" s="227">
        <f>Шать!D45</f>
        <v>88.036000000000001</v>
      </c>
      <c r="CN25" s="227">
        <f t="shared" si="8"/>
        <v>100</v>
      </c>
      <c r="CO25" s="227">
        <f>Шать!C46</f>
        <v>0</v>
      </c>
      <c r="CP25" s="227">
        <f>Шать!D46</f>
        <v>0</v>
      </c>
      <c r="CQ25" s="227"/>
      <c r="CR25" s="227">
        <f>Шать!C50</f>
        <v>97.1</v>
      </c>
      <c r="CS25" s="227">
        <f>Шать!D50</f>
        <v>97.1</v>
      </c>
      <c r="CT25" s="227">
        <f t="shared" si="9"/>
        <v>100</v>
      </c>
      <c r="CU25" s="227"/>
      <c r="CV25" s="227"/>
      <c r="CW25" s="227"/>
      <c r="CX25" s="188"/>
      <c r="CY25" s="188"/>
      <c r="CZ25" s="227" t="e">
        <f t="shared" si="38"/>
        <v>#DIV/0!</v>
      </c>
      <c r="DA25" s="227"/>
      <c r="DB25" s="227"/>
      <c r="DC25" s="227"/>
      <c r="DD25" s="227"/>
      <c r="DE25" s="227"/>
      <c r="DF25" s="227"/>
      <c r="DG25" s="188">
        <f t="shared" si="39"/>
        <v>3431.2165299999997</v>
      </c>
      <c r="DH25" s="188">
        <f t="shared" si="39"/>
        <v>3286.3526100000004</v>
      </c>
      <c r="DI25" s="227">
        <f>DH25/DG25*100</f>
        <v>95.778059509406731</v>
      </c>
      <c r="DJ25" s="188">
        <f t="shared" si="41"/>
        <v>1160.6385</v>
      </c>
      <c r="DK25" s="188">
        <f t="shared" si="41"/>
        <v>1144.0828300000001</v>
      </c>
      <c r="DL25" s="227">
        <f t="shared" si="42"/>
        <v>98.573572219084582</v>
      </c>
      <c r="DM25" s="227">
        <f>Шать!C58</f>
        <v>1121.8440000000001</v>
      </c>
      <c r="DN25" s="227">
        <f>Шать!D58</f>
        <v>1106.2883300000001</v>
      </c>
      <c r="DO25" s="227">
        <f t="shared" si="43"/>
        <v>98.613383857292106</v>
      </c>
      <c r="DP25" s="227">
        <f>Шать!C61</f>
        <v>32.152000000000001</v>
      </c>
      <c r="DQ25" s="227">
        <f>Шать!D61</f>
        <v>32.152000000000001</v>
      </c>
      <c r="DR25" s="227">
        <f t="shared" si="44"/>
        <v>100</v>
      </c>
      <c r="DS25" s="227">
        <f>Шать!C62</f>
        <v>1</v>
      </c>
      <c r="DT25" s="227">
        <f>Шать!D62</f>
        <v>0</v>
      </c>
      <c r="DU25" s="227">
        <f t="shared" si="45"/>
        <v>0</v>
      </c>
      <c r="DV25" s="227">
        <f>Шать!C63</f>
        <v>5.6425000000000001</v>
      </c>
      <c r="DW25" s="227">
        <f>Шать!D63</f>
        <v>5.6425000000000001</v>
      </c>
      <c r="DX25" s="227">
        <f t="shared" si="46"/>
        <v>100</v>
      </c>
      <c r="DY25" s="227">
        <f>Шать!C65</f>
        <v>85.376999999999995</v>
      </c>
      <c r="DZ25" s="227">
        <f>Шать!D65</f>
        <v>85.376999999999995</v>
      </c>
      <c r="EA25" s="227">
        <f t="shared" si="47"/>
        <v>100</v>
      </c>
      <c r="EB25" s="227">
        <f>Шать!C66</f>
        <v>8</v>
      </c>
      <c r="EC25" s="227">
        <f>Шать!D66</f>
        <v>7.931</v>
      </c>
      <c r="ED25" s="227">
        <f t="shared" si="48"/>
        <v>99.137500000000003</v>
      </c>
      <c r="EE25" s="188">
        <f>Шать!C71</f>
        <v>1270.33653</v>
      </c>
      <c r="EF25" s="188">
        <f>Шать!D71</f>
        <v>1193.4031600000001</v>
      </c>
      <c r="EG25" s="227">
        <f t="shared" si="49"/>
        <v>93.943859112671518</v>
      </c>
      <c r="EH25" s="188">
        <f>Шать!C76</f>
        <v>208.36099999999999</v>
      </c>
      <c r="EI25" s="188">
        <f>Шать!D76</f>
        <v>157.05761999999999</v>
      </c>
      <c r="EJ25" s="227">
        <f t="shared" si="50"/>
        <v>75.377647448418855</v>
      </c>
      <c r="EK25" s="188">
        <f>Шать!C80</f>
        <v>689.50350000000003</v>
      </c>
      <c r="EL25" s="230">
        <f>Шать!D80</f>
        <v>689.50300000000004</v>
      </c>
      <c r="EM25" s="227">
        <f t="shared" si="10"/>
        <v>99.999927484051938</v>
      </c>
      <c r="EN25" s="227">
        <f>Шать!C82</f>
        <v>5</v>
      </c>
      <c r="EO25" s="227">
        <f>Шать!D82</f>
        <v>5</v>
      </c>
      <c r="EP25" s="227">
        <f t="shared" si="11"/>
        <v>100</v>
      </c>
      <c r="EQ25" s="228">
        <f>Шать!C87</f>
        <v>4</v>
      </c>
      <c r="ER25" s="228">
        <f>Шать!D87</f>
        <v>3.9980000000000002</v>
      </c>
      <c r="ES25" s="227">
        <f t="shared" si="51"/>
        <v>99.95</v>
      </c>
      <c r="ET25" s="227">
        <f>Шать!C93</f>
        <v>0</v>
      </c>
      <c r="EU25" s="227">
        <f>Шать!D93</f>
        <v>0</v>
      </c>
      <c r="EV25" s="227" t="e">
        <f t="shared" si="52"/>
        <v>#DIV/0!</v>
      </c>
      <c r="EW25" s="231">
        <f t="shared" si="12"/>
        <v>53.393469999999979</v>
      </c>
      <c r="EX25" s="231">
        <f t="shared" si="13"/>
        <v>99.22917999999936</v>
      </c>
      <c r="EY25" s="227">
        <f t="shared" si="54"/>
        <v>185.84516046625063</v>
      </c>
      <c r="EZ25" s="232"/>
      <c r="FA25" s="233"/>
      <c r="FC25" s="233"/>
    </row>
    <row r="26" spans="1:170" s="407" customFormat="1" ht="15" customHeight="1">
      <c r="A26" s="408">
        <v>13</v>
      </c>
      <c r="B26" s="194" t="s">
        <v>316</v>
      </c>
      <c r="C26" s="448">
        <f t="shared" si="14"/>
        <v>5131.1650000000009</v>
      </c>
      <c r="D26" s="448">
        <f t="shared" si="0"/>
        <v>5381.2825899999998</v>
      </c>
      <c r="E26" s="187">
        <f t="shared" si="1"/>
        <v>104.87447957724999</v>
      </c>
      <c r="F26" s="198">
        <f t="shared" si="2"/>
        <v>2725.4100000000003</v>
      </c>
      <c r="G26" s="198">
        <f t="shared" si="3"/>
        <v>3149.3609899999997</v>
      </c>
      <c r="H26" s="187">
        <f t="shared" si="15"/>
        <v>115.55549403575974</v>
      </c>
      <c r="I26" s="195">
        <f>Юнг!C6</f>
        <v>114.5</v>
      </c>
      <c r="J26" s="195">
        <f>Юнг!D6</f>
        <v>124.56229</v>
      </c>
      <c r="K26" s="187">
        <f t="shared" si="16"/>
        <v>108.78802620087336</v>
      </c>
      <c r="L26" s="187">
        <f>Юнг!C8</f>
        <v>185.53</v>
      </c>
      <c r="M26" s="187">
        <f>Юнг!D8</f>
        <v>235.85991999999999</v>
      </c>
      <c r="N26" s="187">
        <f t="shared" si="17"/>
        <v>127.12764512477766</v>
      </c>
      <c r="O26" s="187">
        <f>Юнг!C9</f>
        <v>2</v>
      </c>
      <c r="P26" s="187">
        <f>Юнг!D9</f>
        <v>2.2714799999999999</v>
      </c>
      <c r="Q26" s="187">
        <f t="shared" si="18"/>
        <v>113.574</v>
      </c>
      <c r="R26" s="187">
        <f>Юнг!C10</f>
        <v>309.88</v>
      </c>
      <c r="S26" s="187">
        <f>Юнг!D10</f>
        <v>344.06441999999998</v>
      </c>
      <c r="T26" s="187">
        <f t="shared" si="19"/>
        <v>111.03150251710339</v>
      </c>
      <c r="U26" s="187">
        <f>Юнг!C11</f>
        <v>0</v>
      </c>
      <c r="V26" s="403">
        <f>Юнг!D11</f>
        <v>-52.84601</v>
      </c>
      <c r="W26" s="187" t="e">
        <f t="shared" si="20"/>
        <v>#DIV/0!</v>
      </c>
      <c r="X26" s="195">
        <f>Юнг!C13</f>
        <v>40</v>
      </c>
      <c r="Y26" s="195">
        <f>Юнг!D13</f>
        <v>42.170999999999999</v>
      </c>
      <c r="Z26" s="187">
        <f t="shared" si="21"/>
        <v>105.42750000000001</v>
      </c>
      <c r="AA26" s="195">
        <f>Юнг!C15</f>
        <v>150</v>
      </c>
      <c r="AB26" s="195">
        <f>Юнг!D15</f>
        <v>249.72785999999999</v>
      </c>
      <c r="AC26" s="187">
        <f t="shared" si="22"/>
        <v>166.48524</v>
      </c>
      <c r="AD26" s="195">
        <f>Юнг!C16</f>
        <v>1611.5</v>
      </c>
      <c r="AE26" s="195">
        <f>Юнг!D16</f>
        <v>1901.6328699999999</v>
      </c>
      <c r="AF26" s="187">
        <f t="shared" si="4"/>
        <v>118.00390133416072</v>
      </c>
      <c r="AG26" s="187">
        <f>Юнг!C18</f>
        <v>12</v>
      </c>
      <c r="AH26" s="187">
        <f>Юнг!D18</f>
        <v>8.65</v>
      </c>
      <c r="AI26" s="187">
        <f t="shared" si="23"/>
        <v>72.083333333333329</v>
      </c>
      <c r="AJ26" s="187"/>
      <c r="AK26" s="187"/>
      <c r="AL26" s="187" t="e">
        <f>AJ26/AK26*100</f>
        <v>#DIV/0!</v>
      </c>
      <c r="AM26" s="195">
        <v>0</v>
      </c>
      <c r="AN26" s="195"/>
      <c r="AO26" s="187" t="e">
        <f t="shared" si="6"/>
        <v>#DIV/0!</v>
      </c>
      <c r="AP26" s="195">
        <f>Юнг!C27</f>
        <v>220</v>
      </c>
      <c r="AQ26" s="435">
        <f>Юнг!D27</f>
        <v>169.17080999999999</v>
      </c>
      <c r="AR26" s="187">
        <f t="shared" si="24"/>
        <v>76.895822727272716</v>
      </c>
      <c r="AS26" s="195">
        <f>Юнг!C28</f>
        <v>30</v>
      </c>
      <c r="AT26" s="395">
        <f>Юнг!D28</f>
        <v>39.631999999999998</v>
      </c>
      <c r="AU26" s="187">
        <f t="shared" si="25"/>
        <v>132.10666666666665</v>
      </c>
      <c r="AV26" s="195"/>
      <c r="AW26" s="195"/>
      <c r="AX26" s="187" t="e">
        <f t="shared" si="26"/>
        <v>#DIV/0!</v>
      </c>
      <c r="AY26" s="187">
        <f>Юнг!C30</f>
        <v>50</v>
      </c>
      <c r="AZ26" s="187">
        <f>Юнг!D30</f>
        <v>64.472380000000001</v>
      </c>
      <c r="BA26" s="187">
        <f t="shared" si="27"/>
        <v>128.94476</v>
      </c>
      <c r="BB26" s="187"/>
      <c r="BC26" s="187"/>
      <c r="BD26" s="187"/>
      <c r="BE26" s="187">
        <f>Юнг!C33</f>
        <v>0</v>
      </c>
      <c r="BF26" s="187">
        <f>Юнг!D31</f>
        <v>18.815999999999999</v>
      </c>
      <c r="BG26" s="187" t="e">
        <f t="shared" si="28"/>
        <v>#DIV/0!</v>
      </c>
      <c r="BH26" s="187"/>
      <c r="BI26" s="187"/>
      <c r="BJ26" s="187" t="e">
        <f t="shared" si="29"/>
        <v>#DIV/0!</v>
      </c>
      <c r="BK26" s="187"/>
      <c r="BL26" s="187"/>
      <c r="BM26" s="187"/>
      <c r="BN26" s="187"/>
      <c r="BO26" s="358">
        <f>Юнг!D34</f>
        <v>1.17597</v>
      </c>
      <c r="BP26" s="187" t="e">
        <f t="shared" si="30"/>
        <v>#DIV/0!</v>
      </c>
      <c r="BQ26" s="187">
        <f>Юнг!C36</f>
        <v>0</v>
      </c>
      <c r="BR26" s="187">
        <f>Юнг!D36</f>
        <v>0</v>
      </c>
      <c r="BS26" s="187" t="e">
        <f t="shared" si="31"/>
        <v>#DIV/0!</v>
      </c>
      <c r="BT26" s="187"/>
      <c r="BU26" s="187"/>
      <c r="BV26" s="196" t="e">
        <f t="shared" si="32"/>
        <v>#DIV/0!</v>
      </c>
      <c r="BW26" s="196"/>
      <c r="BX26" s="196"/>
      <c r="BY26" s="196" t="e">
        <f t="shared" si="33"/>
        <v>#DIV/0!</v>
      </c>
      <c r="BZ26" s="195">
        <f t="shared" si="34"/>
        <v>2405.7550000000001</v>
      </c>
      <c r="CA26" s="195">
        <f t="shared" si="35"/>
        <v>2231.9216000000001</v>
      </c>
      <c r="CB26" s="187">
        <f t="shared" si="53"/>
        <v>92.774268368973566</v>
      </c>
      <c r="CC26" s="187">
        <f>Юнг!C41</f>
        <v>859.154</v>
      </c>
      <c r="CD26" s="187">
        <f>Юнг!D41</f>
        <v>859.154</v>
      </c>
      <c r="CE26" s="187">
        <f t="shared" si="36"/>
        <v>100</v>
      </c>
      <c r="CF26" s="187">
        <f>Юнг!C42</f>
        <v>100</v>
      </c>
      <c r="CG26" s="187">
        <f>Юнг!D42</f>
        <v>100</v>
      </c>
      <c r="CH26" s="187">
        <f t="shared" si="37"/>
        <v>100</v>
      </c>
      <c r="CI26" s="187">
        <f>Юнг!C43</f>
        <v>480.14600000000002</v>
      </c>
      <c r="CJ26" s="187">
        <f>Юнг!D43</f>
        <v>480.14600000000002</v>
      </c>
      <c r="CK26" s="187">
        <f t="shared" si="7"/>
        <v>100</v>
      </c>
      <c r="CL26" s="187">
        <f>Юнг!C44</f>
        <v>86.355000000000004</v>
      </c>
      <c r="CM26" s="187">
        <f>Юнг!D44</f>
        <v>86.355000000000004</v>
      </c>
      <c r="CN26" s="187">
        <f t="shared" si="8"/>
        <v>100</v>
      </c>
      <c r="CO26" s="187">
        <f>Юнг!C45</f>
        <v>840</v>
      </c>
      <c r="CP26" s="187">
        <f>Юнг!D45</f>
        <v>840</v>
      </c>
      <c r="CQ26" s="187"/>
      <c r="CR26" s="187">
        <f>Юнг!C48</f>
        <v>40.1</v>
      </c>
      <c r="CS26" s="187">
        <f>Юнг!D48</f>
        <v>216.58760000000001</v>
      </c>
      <c r="CT26" s="187">
        <f t="shared" si="9"/>
        <v>540.11870324189533</v>
      </c>
      <c r="CU26" s="187"/>
      <c r="CV26" s="187">
        <f>Юнг!D47</f>
        <v>-350.32100000000003</v>
      </c>
      <c r="CW26" s="187"/>
      <c r="CX26" s="195"/>
      <c r="CY26" s="195"/>
      <c r="CZ26" s="187" t="e">
        <f t="shared" si="38"/>
        <v>#DIV/0!</v>
      </c>
      <c r="DA26" s="187"/>
      <c r="DB26" s="187"/>
      <c r="DC26" s="187"/>
      <c r="DD26" s="187"/>
      <c r="DE26" s="187"/>
      <c r="DF26" s="187"/>
      <c r="DG26" s="195">
        <f t="shared" si="39"/>
        <v>5777.8139200000014</v>
      </c>
      <c r="DH26" s="195">
        <f t="shared" si="39"/>
        <v>5565.6862600000004</v>
      </c>
      <c r="DI26" s="187">
        <f t="shared" si="40"/>
        <v>96.328582696896518</v>
      </c>
      <c r="DJ26" s="195">
        <f t="shared" si="41"/>
        <v>1565.0640000000001</v>
      </c>
      <c r="DK26" s="195">
        <f t="shared" si="41"/>
        <v>1535.4399900000001</v>
      </c>
      <c r="DL26" s="187">
        <f t="shared" si="42"/>
        <v>98.107169419269752</v>
      </c>
      <c r="DM26" s="187">
        <f>Юнг!C57</f>
        <v>1549.838</v>
      </c>
      <c r="DN26" s="187">
        <f>Юнг!D57</f>
        <v>1525.2414900000001</v>
      </c>
      <c r="DO26" s="187">
        <f t="shared" si="43"/>
        <v>98.412962516082331</v>
      </c>
      <c r="DP26" s="187">
        <f>Юнг!C60</f>
        <v>0</v>
      </c>
      <c r="DQ26" s="187">
        <f>Юнг!D60</f>
        <v>0</v>
      </c>
      <c r="DR26" s="187" t="e">
        <f t="shared" si="44"/>
        <v>#DIV/0!</v>
      </c>
      <c r="DS26" s="187">
        <f>Юнг!C61</f>
        <v>5</v>
      </c>
      <c r="DT26" s="187">
        <f>Юнг!D61</f>
        <v>0</v>
      </c>
      <c r="DU26" s="187">
        <f t="shared" si="45"/>
        <v>0</v>
      </c>
      <c r="DV26" s="187">
        <f>Юнг!C62</f>
        <v>10.226000000000001</v>
      </c>
      <c r="DW26" s="187">
        <f>Юнг!D62</f>
        <v>10.198499999999999</v>
      </c>
      <c r="DX26" s="187">
        <f t="shared" si="46"/>
        <v>99.731077645218065</v>
      </c>
      <c r="DY26" s="187">
        <f>Юнг!C64</f>
        <v>85.376000000000005</v>
      </c>
      <c r="DZ26" s="187">
        <f>Юнг!D64</f>
        <v>85.376000000000005</v>
      </c>
      <c r="EA26" s="187">
        <f t="shared" si="47"/>
        <v>100</v>
      </c>
      <c r="EB26" s="187">
        <f>Юнг!C65</f>
        <v>193.8</v>
      </c>
      <c r="EC26" s="187">
        <f>Юнг!D65</f>
        <v>192.83510999999999</v>
      </c>
      <c r="ED26" s="187">
        <f t="shared" si="48"/>
        <v>99.502120743034041</v>
      </c>
      <c r="EE26" s="195">
        <f>Юнг!C70</f>
        <v>2055.1359200000002</v>
      </c>
      <c r="EF26" s="195">
        <f>Юнг!D70</f>
        <v>1944.98116</v>
      </c>
      <c r="EG26" s="187">
        <f t="shared" si="49"/>
        <v>94.640025560937104</v>
      </c>
      <c r="EH26" s="195">
        <f>Юнг!C75</f>
        <v>928.19799999999998</v>
      </c>
      <c r="EI26" s="195">
        <f>Юнг!D75</f>
        <v>858.15302999999994</v>
      </c>
      <c r="EJ26" s="187">
        <f t="shared" si="50"/>
        <v>92.453660749107399</v>
      </c>
      <c r="EK26" s="195">
        <f>Юнг!C79</f>
        <v>945.6</v>
      </c>
      <c r="EL26" s="197">
        <f>Юнг!D79</f>
        <v>944.26097000000004</v>
      </c>
      <c r="EM26" s="187">
        <f t="shared" si="10"/>
        <v>99.858393612521155</v>
      </c>
      <c r="EN26" s="187">
        <f>Юнг!C81</f>
        <v>0</v>
      </c>
      <c r="EO26" s="187">
        <f>Юнг!D81</f>
        <v>0</v>
      </c>
      <c r="EP26" s="187" t="e">
        <f t="shared" si="11"/>
        <v>#DIV/0!</v>
      </c>
      <c r="EQ26" s="198">
        <f>Юнг!C86</f>
        <v>4.6399999999999997</v>
      </c>
      <c r="ER26" s="198">
        <f>Юнг!D86</f>
        <v>4.6399999999999997</v>
      </c>
      <c r="ES26" s="187">
        <f t="shared" si="51"/>
        <v>100</v>
      </c>
      <c r="ET26" s="187">
        <f>Юнг!C92</f>
        <v>0</v>
      </c>
      <c r="EU26" s="187">
        <f>Юнг!D92</f>
        <v>0</v>
      </c>
      <c r="EV26" s="187" t="e">
        <f t="shared" si="52"/>
        <v>#DIV/0!</v>
      </c>
      <c r="EW26" s="404">
        <f t="shared" si="12"/>
        <v>-646.64892000000054</v>
      </c>
      <c r="EX26" s="404">
        <f t="shared" si="13"/>
        <v>-184.4036700000006</v>
      </c>
      <c r="EY26" s="187">
        <f t="shared" si="54"/>
        <v>28.516814038752347</v>
      </c>
      <c r="EZ26" s="405"/>
      <c r="FA26" s="406"/>
      <c r="FC26" s="406"/>
    </row>
    <row r="27" spans="1:170" s="169" customFormat="1" ht="15" customHeight="1">
      <c r="A27" s="181">
        <v>14</v>
      </c>
      <c r="B27" s="194" t="s">
        <v>317</v>
      </c>
      <c r="C27" s="183">
        <f t="shared" si="14"/>
        <v>7320.8321000000005</v>
      </c>
      <c r="D27" s="448">
        <f t="shared" si="0"/>
        <v>7478.5409900000004</v>
      </c>
      <c r="E27" s="187">
        <f t="shared" si="1"/>
        <v>102.15424814892285</v>
      </c>
      <c r="F27" s="185">
        <f>I27+X27+AA27+AD27+AG27+AM27+AS27+BE27+BQ27+BN27+AJ27+AY27+L27+R27+O27+U27+AP27</f>
        <v>1723.5400000000002</v>
      </c>
      <c r="G27" s="185">
        <f t="shared" si="3"/>
        <v>1881.2488900000001</v>
      </c>
      <c r="H27" s="187">
        <f t="shared" si="15"/>
        <v>109.15028894020446</v>
      </c>
      <c r="I27" s="195">
        <f>Юсь!C6</f>
        <v>130.19999999999999</v>
      </c>
      <c r="J27" s="195">
        <f>Юсь!D6</f>
        <v>132.00704999999999</v>
      </c>
      <c r="K27" s="187">
        <f t="shared" si="16"/>
        <v>101.38790322580647</v>
      </c>
      <c r="L27" s="187">
        <f>Юсь!C8</f>
        <v>250.04</v>
      </c>
      <c r="M27" s="187">
        <f>Юсь!D8</f>
        <v>317.85415</v>
      </c>
      <c r="N27" s="184">
        <f t="shared" si="17"/>
        <v>127.12132058870583</v>
      </c>
      <c r="O27" s="184">
        <f>Юсь!C9</f>
        <v>2.68</v>
      </c>
      <c r="P27" s="184">
        <f>Юсь!D9</f>
        <v>3.0611299999999999</v>
      </c>
      <c r="Q27" s="184">
        <f t="shared" si="18"/>
        <v>114.2212686567164</v>
      </c>
      <c r="R27" s="184">
        <f>Юсь!C10</f>
        <v>417.62</v>
      </c>
      <c r="S27" s="184">
        <f>Юсь!D10</f>
        <v>463.6748</v>
      </c>
      <c r="T27" s="184">
        <f t="shared" si="19"/>
        <v>111.02792011876825</v>
      </c>
      <c r="U27" s="184">
        <f>Юсь!C11</f>
        <v>0</v>
      </c>
      <c r="V27" s="397">
        <f>Юсь!D11</f>
        <v>-71.217359999999999</v>
      </c>
      <c r="W27" s="184" t="e">
        <f t="shared" si="20"/>
        <v>#DIV/0!</v>
      </c>
      <c r="X27" s="195">
        <f>Юсь!C13</f>
        <v>30</v>
      </c>
      <c r="Y27" s="195">
        <f>Юсь!D13</f>
        <v>1.6573199999999999</v>
      </c>
      <c r="Z27" s="187">
        <f t="shared" si="21"/>
        <v>5.5243999999999991</v>
      </c>
      <c r="AA27" s="195">
        <f>Юсь!C15</f>
        <v>105</v>
      </c>
      <c r="AB27" s="195">
        <f>Юсь!D15</f>
        <v>132.85103000000001</v>
      </c>
      <c r="AC27" s="187">
        <f t="shared" si="22"/>
        <v>126.52479047619047</v>
      </c>
      <c r="AD27" s="195">
        <f>Юсь!C16</f>
        <v>420</v>
      </c>
      <c r="AE27" s="195">
        <f>Юсь!D16</f>
        <v>309.96384</v>
      </c>
      <c r="AF27" s="187">
        <f t="shared" si="4"/>
        <v>73.800914285714299</v>
      </c>
      <c r="AG27" s="187">
        <f>Юсь!C18</f>
        <v>8</v>
      </c>
      <c r="AH27" s="187">
        <f>Юсь!D18</f>
        <v>6.75</v>
      </c>
      <c r="AI27" s="187">
        <f t="shared" si="23"/>
        <v>84.375</v>
      </c>
      <c r="AJ27" s="187"/>
      <c r="AK27" s="187"/>
      <c r="AL27" s="187" t="e">
        <f>AJ27/AK27*100</f>
        <v>#DIV/0!</v>
      </c>
      <c r="AM27" s="195">
        <v>0</v>
      </c>
      <c r="AN27" s="195">
        <v>0</v>
      </c>
      <c r="AO27" s="187" t="e">
        <f t="shared" si="6"/>
        <v>#DIV/0!</v>
      </c>
      <c r="AP27" s="195">
        <f>Юсь!C27</f>
        <v>0</v>
      </c>
      <c r="AQ27" s="435">
        <f>Юсь!D27</f>
        <v>0</v>
      </c>
      <c r="AR27" s="187" t="e">
        <f t="shared" si="24"/>
        <v>#DIV/0!</v>
      </c>
      <c r="AS27" s="188">
        <f>Юсь!C28</f>
        <v>60</v>
      </c>
      <c r="AT27" s="395">
        <f>Юсь!D28</f>
        <v>66</v>
      </c>
      <c r="AU27" s="187">
        <f t="shared" si="25"/>
        <v>110.00000000000001</v>
      </c>
      <c r="AV27" s="195"/>
      <c r="AW27" s="195"/>
      <c r="AX27" s="187" t="e">
        <f t="shared" si="26"/>
        <v>#DIV/0!</v>
      </c>
      <c r="AY27" s="187">
        <f>Юсь!C30</f>
        <v>300</v>
      </c>
      <c r="AZ27" s="187">
        <f>Юсь!D30</f>
        <v>518.88702999999998</v>
      </c>
      <c r="BA27" s="187">
        <f t="shared" si="27"/>
        <v>172.96234333333334</v>
      </c>
      <c r="BB27" s="187"/>
      <c r="BC27" s="187"/>
      <c r="BD27" s="187"/>
      <c r="BE27" s="187">
        <f>Юсь!C31</f>
        <v>0</v>
      </c>
      <c r="BF27" s="187">
        <f>Юсь!D31</f>
        <v>0</v>
      </c>
      <c r="BG27" s="187" t="e">
        <f t="shared" si="28"/>
        <v>#DIV/0!</v>
      </c>
      <c r="BH27" s="187"/>
      <c r="BI27" s="187"/>
      <c r="BJ27" s="187" t="e">
        <f t="shared" si="29"/>
        <v>#DIV/0!</v>
      </c>
      <c r="BK27" s="187"/>
      <c r="BL27" s="187"/>
      <c r="BM27" s="187"/>
      <c r="BN27" s="187"/>
      <c r="BO27" s="358"/>
      <c r="BP27" s="187" t="e">
        <f t="shared" si="30"/>
        <v>#DIV/0!</v>
      </c>
      <c r="BQ27" s="187">
        <f>Юсь!C34</f>
        <v>0</v>
      </c>
      <c r="BR27" s="187">
        <f>Юсь!D34</f>
        <v>-0.24010000000000001</v>
      </c>
      <c r="BS27" s="187" t="e">
        <f t="shared" si="31"/>
        <v>#DIV/0!</v>
      </c>
      <c r="BT27" s="187"/>
      <c r="BU27" s="187"/>
      <c r="BV27" s="196" t="e">
        <f t="shared" si="32"/>
        <v>#DIV/0!</v>
      </c>
      <c r="BW27" s="196"/>
      <c r="BX27" s="196"/>
      <c r="BY27" s="196" t="e">
        <f t="shared" si="33"/>
        <v>#DIV/0!</v>
      </c>
      <c r="BZ27" s="186">
        <f t="shared" si="34"/>
        <v>5597.2921000000006</v>
      </c>
      <c r="CA27" s="186">
        <f t="shared" si="35"/>
        <v>5597.2921000000006</v>
      </c>
      <c r="CB27" s="187">
        <f t="shared" si="53"/>
        <v>100</v>
      </c>
      <c r="CC27" s="187">
        <f>Юсь!C39</f>
        <v>2768.5630000000001</v>
      </c>
      <c r="CD27" s="187">
        <f>Юсь!D39</f>
        <v>2768.5630000000001</v>
      </c>
      <c r="CE27" s="187">
        <f t="shared" si="36"/>
        <v>100</v>
      </c>
      <c r="CF27" s="358">
        <f>Юсь!C41</f>
        <v>1046.8801000000001</v>
      </c>
      <c r="CG27" s="187">
        <f>Юсь!D41</f>
        <v>1046.8801000000001</v>
      </c>
      <c r="CH27" s="187">
        <f t="shared" si="37"/>
        <v>100</v>
      </c>
      <c r="CI27" s="187">
        <f>Юсь!C42</f>
        <v>1526.2819999999999</v>
      </c>
      <c r="CJ27" s="187">
        <f>Юсь!D42</f>
        <v>1526.2819999999999</v>
      </c>
      <c r="CK27" s="187">
        <f t="shared" si="7"/>
        <v>100</v>
      </c>
      <c r="CL27" s="187">
        <f>Юсь!C43</f>
        <v>177.46700000000001</v>
      </c>
      <c r="CM27" s="187">
        <f>Юсь!D43</f>
        <v>177.46700000000001</v>
      </c>
      <c r="CN27" s="187">
        <f t="shared" si="8"/>
        <v>100</v>
      </c>
      <c r="CO27" s="187">
        <f>Юсь!C50</f>
        <v>0</v>
      </c>
      <c r="CP27" s="187">
        <f>Юсь!D50</f>
        <v>0</v>
      </c>
      <c r="CQ27" s="187"/>
      <c r="CR27" s="187">
        <f>Юсь!C51</f>
        <v>78.099999999999994</v>
      </c>
      <c r="CS27" s="187">
        <f>Юсь!D51</f>
        <v>78.099999999999994</v>
      </c>
      <c r="CT27" s="187">
        <f t="shared" si="9"/>
        <v>100</v>
      </c>
      <c r="CU27" s="187"/>
      <c r="CV27" s="187"/>
      <c r="CW27" s="187"/>
      <c r="CX27" s="195"/>
      <c r="CY27" s="195"/>
      <c r="CZ27" s="187" t="e">
        <f t="shared" si="38"/>
        <v>#DIV/0!</v>
      </c>
      <c r="DA27" s="187"/>
      <c r="DB27" s="187"/>
      <c r="DC27" s="187"/>
      <c r="DD27" s="187"/>
      <c r="DE27" s="187"/>
      <c r="DF27" s="187"/>
      <c r="DG27" s="195">
        <f t="shared" si="39"/>
        <v>7520.6484799999998</v>
      </c>
      <c r="DH27" s="195">
        <f t="shared" si="39"/>
        <v>7427.6566699999994</v>
      </c>
      <c r="DI27" s="187">
        <f t="shared" si="40"/>
        <v>98.763513409152182</v>
      </c>
      <c r="DJ27" s="195">
        <f t="shared" si="41"/>
        <v>1339.6554999999998</v>
      </c>
      <c r="DK27" s="195">
        <f t="shared" si="41"/>
        <v>1300.3619899999999</v>
      </c>
      <c r="DL27" s="187">
        <f t="shared" si="42"/>
        <v>97.066894436666743</v>
      </c>
      <c r="DM27" s="187">
        <f>Юсь!C59</f>
        <v>1314.6849999999999</v>
      </c>
      <c r="DN27" s="187">
        <f>Юсь!D59</f>
        <v>1280.39149</v>
      </c>
      <c r="DO27" s="187">
        <f t="shared" si="43"/>
        <v>97.39150366817907</v>
      </c>
      <c r="DP27" s="187">
        <f>Юсь!C62</f>
        <v>15.714</v>
      </c>
      <c r="DQ27" s="187">
        <f>Юсь!D62</f>
        <v>15.714</v>
      </c>
      <c r="DR27" s="187">
        <f t="shared" si="44"/>
        <v>100</v>
      </c>
      <c r="DS27" s="187">
        <f>Юсь!C63</f>
        <v>5</v>
      </c>
      <c r="DT27" s="187">
        <f>Юсь!D63</f>
        <v>0</v>
      </c>
      <c r="DU27" s="187">
        <f t="shared" si="45"/>
        <v>0</v>
      </c>
      <c r="DV27" s="187">
        <f>Юсь!C64</f>
        <v>4.2565</v>
      </c>
      <c r="DW27" s="187">
        <f>Юсь!D64</f>
        <v>4.2565</v>
      </c>
      <c r="DX27" s="187">
        <f t="shared" si="46"/>
        <v>100</v>
      </c>
      <c r="DY27" s="187">
        <f>Юсь!C66</f>
        <v>170.749</v>
      </c>
      <c r="DZ27" s="187">
        <f>Юсь!D66</f>
        <v>170.749</v>
      </c>
      <c r="EA27" s="187">
        <f t="shared" si="47"/>
        <v>100</v>
      </c>
      <c r="EB27" s="187">
        <f>Юсь!C67</f>
        <v>3</v>
      </c>
      <c r="EC27" s="187">
        <f>Юсь!D67</f>
        <v>0</v>
      </c>
      <c r="ED27" s="187">
        <f t="shared" si="48"/>
        <v>0</v>
      </c>
      <c r="EE27" s="195">
        <f>Юсь!C72</f>
        <v>1558.51638</v>
      </c>
      <c r="EF27" s="195">
        <f>Юсь!D72</f>
        <v>1527.1272299999998</v>
      </c>
      <c r="EG27" s="187">
        <f t="shared" si="49"/>
        <v>97.985959570088042</v>
      </c>
      <c r="EH27" s="195">
        <f>Юсь!C77</f>
        <v>704.24</v>
      </c>
      <c r="EI27" s="195">
        <f>Юсь!D77</f>
        <v>684.94888000000003</v>
      </c>
      <c r="EJ27" s="187">
        <f t="shared" si="50"/>
        <v>97.260717937066914</v>
      </c>
      <c r="EK27" s="195">
        <f>Юсь!C81</f>
        <v>3740.4875999999999</v>
      </c>
      <c r="EL27" s="197">
        <f>Юсь!D81</f>
        <v>3740.4755700000001</v>
      </c>
      <c r="EM27" s="187">
        <f t="shared" si="10"/>
        <v>99.999678384176434</v>
      </c>
      <c r="EN27" s="187">
        <f>Юсь!C83</f>
        <v>0</v>
      </c>
      <c r="EO27" s="187">
        <f>Юсь!D83</f>
        <v>0</v>
      </c>
      <c r="EP27" s="187" t="e">
        <f t="shared" si="11"/>
        <v>#DIV/0!</v>
      </c>
      <c r="EQ27" s="198">
        <f>Юсь!C88</f>
        <v>4</v>
      </c>
      <c r="ER27" s="198">
        <f>Юсь!D88</f>
        <v>3.9940000000000002</v>
      </c>
      <c r="ES27" s="187">
        <f t="shared" si="51"/>
        <v>99.850000000000009</v>
      </c>
      <c r="ET27" s="187">
        <f>Юсь!C94</f>
        <v>0</v>
      </c>
      <c r="EU27" s="187">
        <f>Юсь!D94</f>
        <v>0</v>
      </c>
      <c r="EV27" s="184" t="e">
        <f t="shared" si="52"/>
        <v>#DIV/0!</v>
      </c>
      <c r="EW27" s="191">
        <f t="shared" si="12"/>
        <v>-199.8163799999993</v>
      </c>
      <c r="EX27" s="191">
        <f t="shared" si="13"/>
        <v>50.884320000001026</v>
      </c>
      <c r="EY27" s="184">
        <f t="shared" si="54"/>
        <v>-25.465539912193986</v>
      </c>
      <c r="EZ27" s="192"/>
      <c r="FA27" s="193"/>
      <c r="FC27" s="193"/>
    </row>
    <row r="28" spans="1:170" s="169" customFormat="1" ht="15" customHeight="1">
      <c r="A28" s="181">
        <v>15</v>
      </c>
      <c r="B28" s="194" t="s">
        <v>318</v>
      </c>
      <c r="C28" s="448">
        <f t="shared" si="14"/>
        <v>8897.66849</v>
      </c>
      <c r="D28" s="448">
        <f>G28+CA28+CY28</f>
        <v>8870.0282000000007</v>
      </c>
      <c r="E28" s="187">
        <f>D28/C28*100</f>
        <v>99.689353564576336</v>
      </c>
      <c r="F28" s="185">
        <f t="shared" si="2"/>
        <v>2660.75</v>
      </c>
      <c r="G28" s="185">
        <f>J28+Y28+AB28+AE28+AH28+AN28+AT28+BF28+AK28+BR28+BO28+AZ28+M28+S28+P28+V28+AQ28</f>
        <v>2571.4084400000002</v>
      </c>
      <c r="H28" s="187">
        <f>G28/F28*100</f>
        <v>96.642241473268825</v>
      </c>
      <c r="I28" s="195">
        <f>Яра!C6</f>
        <v>121.5</v>
      </c>
      <c r="J28" s="195">
        <f>Яра!D6</f>
        <v>146.9922</v>
      </c>
      <c r="K28" s="187">
        <f t="shared" si="16"/>
        <v>120.98123456790124</v>
      </c>
      <c r="L28" s="187">
        <f>Яра!C8</f>
        <v>273.13</v>
      </c>
      <c r="M28" s="187">
        <f>Яра!D8</f>
        <v>347.21010999999999</v>
      </c>
      <c r="N28" s="184">
        <f t="shared" si="17"/>
        <v>127.12265587815325</v>
      </c>
      <c r="O28" s="184">
        <f>Яра!C9</f>
        <v>2.93</v>
      </c>
      <c r="P28" s="184">
        <f>Яра!D9</f>
        <v>3.3438500000000002</v>
      </c>
      <c r="Q28" s="184">
        <f t="shared" si="18"/>
        <v>114.12457337883959</v>
      </c>
      <c r="R28" s="184">
        <f>Яра!C10</f>
        <v>456.19</v>
      </c>
      <c r="S28" s="184">
        <f>Яра!D10</f>
        <v>506.49826000000002</v>
      </c>
      <c r="T28" s="184">
        <f t="shared" si="19"/>
        <v>111.02791819198141</v>
      </c>
      <c r="U28" s="184">
        <f>Яра!C11</f>
        <v>0</v>
      </c>
      <c r="V28" s="397">
        <f>Яра!D11</f>
        <v>-77.794719999999998</v>
      </c>
      <c r="W28" s="184" t="e">
        <f t="shared" si="20"/>
        <v>#DIV/0!</v>
      </c>
      <c r="X28" s="195">
        <f>Яра!C13</f>
        <v>25</v>
      </c>
      <c r="Y28" s="195">
        <f>Яра!D13</f>
        <v>21.5001</v>
      </c>
      <c r="Z28" s="187">
        <f t="shared" si="21"/>
        <v>86.000399999999999</v>
      </c>
      <c r="AA28" s="195">
        <f>Яра!C15</f>
        <v>155</v>
      </c>
      <c r="AB28" s="195">
        <f>Яра!D15</f>
        <v>194.19435999999999</v>
      </c>
      <c r="AC28" s="187">
        <f t="shared" si="22"/>
        <v>125.28668387096774</v>
      </c>
      <c r="AD28" s="195">
        <f>Яра!C16</f>
        <v>1500</v>
      </c>
      <c r="AE28" s="195">
        <f>Яра!D16</f>
        <v>1251.6452200000001</v>
      </c>
      <c r="AF28" s="187">
        <f t="shared" si="4"/>
        <v>83.44301466666667</v>
      </c>
      <c r="AG28" s="187">
        <f>Яра!C18</f>
        <v>12</v>
      </c>
      <c r="AH28" s="187">
        <f>Яра!D18</f>
        <v>14.237209999999999</v>
      </c>
      <c r="AI28" s="187">
        <f t="shared" si="23"/>
        <v>118.64341666666667</v>
      </c>
      <c r="AJ28" s="187"/>
      <c r="AK28" s="187"/>
      <c r="AL28" s="187" t="e">
        <f>AJ28/AK28*100</f>
        <v>#DIV/0!</v>
      </c>
      <c r="AM28" s="195">
        <v>0</v>
      </c>
      <c r="AN28" s="195">
        <v>0</v>
      </c>
      <c r="AO28" s="187" t="e">
        <f t="shared" si="6"/>
        <v>#DIV/0!</v>
      </c>
      <c r="AP28" s="195">
        <f>Яра!C27</f>
        <v>30</v>
      </c>
      <c r="AQ28" s="435">
        <f>Яра!D27</f>
        <v>40.726370000000003</v>
      </c>
      <c r="AR28" s="187">
        <f t="shared" si="24"/>
        <v>135.75456666666668</v>
      </c>
      <c r="AS28" s="188">
        <f>Яра!C28</f>
        <v>55</v>
      </c>
      <c r="AT28" s="395">
        <f>Яра!D28</f>
        <v>53.003459999999997</v>
      </c>
      <c r="AU28" s="187">
        <f t="shared" si="25"/>
        <v>96.369927272727267</v>
      </c>
      <c r="AV28" s="195"/>
      <c r="AW28" s="195"/>
      <c r="AX28" s="187" t="e">
        <f t="shared" si="26"/>
        <v>#DIV/0!</v>
      </c>
      <c r="AY28" s="187">
        <f>Яра!C31</f>
        <v>30</v>
      </c>
      <c r="AZ28" s="187">
        <f>Яра!D31</f>
        <v>56.903869999999998</v>
      </c>
      <c r="BA28" s="187">
        <f t="shared" si="27"/>
        <v>189.67956666666666</v>
      </c>
      <c r="BB28" s="187"/>
      <c r="BC28" s="187"/>
      <c r="BD28" s="187"/>
      <c r="BE28" s="187"/>
      <c r="BF28" s="187">
        <v>0</v>
      </c>
      <c r="BG28" s="187" t="e">
        <f t="shared" si="28"/>
        <v>#DIV/0!</v>
      </c>
      <c r="BH28" s="187"/>
      <c r="BI28" s="187"/>
      <c r="BJ28" s="187" t="e">
        <f t="shared" si="29"/>
        <v>#DIV/0!</v>
      </c>
      <c r="BK28" s="187"/>
      <c r="BL28" s="187"/>
      <c r="BM28" s="187"/>
      <c r="BN28" s="187">
        <f>Яра!C35</f>
        <v>0</v>
      </c>
      <c r="BO28" s="358">
        <f>Яра!D35</f>
        <v>12.99113</v>
      </c>
      <c r="BP28" s="187" t="e">
        <f t="shared" si="30"/>
        <v>#DIV/0!</v>
      </c>
      <c r="BQ28" s="187">
        <f>Яра!C37</f>
        <v>0</v>
      </c>
      <c r="BR28" s="187">
        <f>Яра!D37</f>
        <v>-4.2979999999999997E-2</v>
      </c>
      <c r="BS28" s="187" t="e">
        <f t="shared" si="31"/>
        <v>#DIV/0!</v>
      </c>
      <c r="BT28" s="187"/>
      <c r="BU28" s="187"/>
      <c r="BV28" s="196" t="e">
        <f t="shared" si="32"/>
        <v>#DIV/0!</v>
      </c>
      <c r="BW28" s="196"/>
      <c r="BX28" s="196"/>
      <c r="BY28" s="196" t="e">
        <f t="shared" si="33"/>
        <v>#DIV/0!</v>
      </c>
      <c r="BZ28" s="186">
        <f t="shared" si="34"/>
        <v>6236.9184900000009</v>
      </c>
      <c r="CA28" s="186">
        <f t="shared" si="35"/>
        <v>6298.6197600000005</v>
      </c>
      <c r="CB28" s="187">
        <f t="shared" si="53"/>
        <v>100.98929094710678</v>
      </c>
      <c r="CC28" s="187">
        <f>Яра!C42</f>
        <v>1821.173</v>
      </c>
      <c r="CD28" s="187">
        <f>Яра!D42</f>
        <v>1821.173</v>
      </c>
      <c r="CE28" s="187">
        <f t="shared" si="36"/>
        <v>100</v>
      </c>
      <c r="CF28" s="187">
        <f>Яра!C43</f>
        <v>314.46699999999998</v>
      </c>
      <c r="CG28" s="187">
        <f>Яра!D43</f>
        <v>314.46699999999998</v>
      </c>
      <c r="CH28" s="187">
        <f t="shared" si="37"/>
        <v>100</v>
      </c>
      <c r="CI28" s="187">
        <f>Яра!C44</f>
        <v>3261.7984900000001</v>
      </c>
      <c r="CJ28" s="187">
        <f>Яра!D44</f>
        <v>2803.71783</v>
      </c>
      <c r="CK28" s="187">
        <f t="shared" si="7"/>
        <v>85.956193756163017</v>
      </c>
      <c r="CL28" s="187">
        <f>Яра!C45</f>
        <v>175.78700000000001</v>
      </c>
      <c r="CM28" s="187">
        <f>Яра!D45</f>
        <v>175.78700000000001</v>
      </c>
      <c r="CN28" s="187">
        <f t="shared" si="8"/>
        <v>100</v>
      </c>
      <c r="CO28" s="187">
        <f>Яра!C47</f>
        <v>0</v>
      </c>
      <c r="CP28" s="187">
        <f>Яра!D47</f>
        <v>0</v>
      </c>
      <c r="CQ28" s="187"/>
      <c r="CR28" s="187">
        <f>Яра!C51</f>
        <v>663.69299999999998</v>
      </c>
      <c r="CS28" s="187">
        <f>Яра!D51</f>
        <v>1183.4749300000001</v>
      </c>
      <c r="CT28" s="187">
        <f t="shared" si="9"/>
        <v>178.31662078702053</v>
      </c>
      <c r="CU28" s="187"/>
      <c r="CV28" s="187"/>
      <c r="CW28" s="187"/>
      <c r="CX28" s="195"/>
      <c r="CY28" s="195"/>
      <c r="CZ28" s="187" t="e">
        <f t="shared" si="38"/>
        <v>#DIV/0!</v>
      </c>
      <c r="DA28" s="187"/>
      <c r="DB28" s="187">
        <f>Яра!D46</f>
        <v>0</v>
      </c>
      <c r="DC28" s="187" t="e">
        <f>DB28/DA28</f>
        <v>#DIV/0!</v>
      </c>
      <c r="DD28" s="187"/>
      <c r="DE28" s="187"/>
      <c r="DF28" s="187"/>
      <c r="DG28" s="195">
        <f t="shared" si="39"/>
        <v>11096.25382</v>
      </c>
      <c r="DH28" s="195">
        <f t="shared" si="39"/>
        <v>9651.8747199999998</v>
      </c>
      <c r="DI28" s="187">
        <f t="shared" si="40"/>
        <v>86.983182581885103</v>
      </c>
      <c r="DJ28" s="195">
        <f t="shared" si="41"/>
        <v>1332.5150000000001</v>
      </c>
      <c r="DK28" s="195">
        <f t="shared" si="41"/>
        <v>1283.97244</v>
      </c>
      <c r="DL28" s="187">
        <f t="shared" si="42"/>
        <v>96.357072153033911</v>
      </c>
      <c r="DM28" s="187">
        <f>Яра!C59</f>
        <v>1306.19</v>
      </c>
      <c r="DN28" s="187">
        <f>Яра!D59</f>
        <v>1263.66544</v>
      </c>
      <c r="DO28" s="187">
        <f t="shared" si="43"/>
        <v>96.744381751506282</v>
      </c>
      <c r="DP28" s="187">
        <f>Яра!C62</f>
        <v>0</v>
      </c>
      <c r="DQ28" s="187">
        <f>Яра!D62</f>
        <v>0</v>
      </c>
      <c r="DR28" s="187" t="e">
        <f t="shared" si="44"/>
        <v>#DIV/0!</v>
      </c>
      <c r="DS28" s="187">
        <f>Яра!C63</f>
        <v>5</v>
      </c>
      <c r="DT28" s="187">
        <f>Яра!D63</f>
        <v>0</v>
      </c>
      <c r="DU28" s="187">
        <f t="shared" si="45"/>
        <v>0</v>
      </c>
      <c r="DV28" s="187">
        <f>Яра!C64</f>
        <v>21.324999999999999</v>
      </c>
      <c r="DW28" s="187">
        <f>Яра!D64</f>
        <v>20.306999999999999</v>
      </c>
      <c r="DX28" s="187">
        <f t="shared" si="46"/>
        <v>95.226260257913239</v>
      </c>
      <c r="DY28" s="187">
        <f>Яра!C66</f>
        <v>170.749</v>
      </c>
      <c r="DZ28" s="187">
        <f>Яра!D65</f>
        <v>170.749</v>
      </c>
      <c r="EA28" s="187">
        <f t="shared" si="47"/>
        <v>100</v>
      </c>
      <c r="EB28" s="187">
        <f>Яра!C67</f>
        <v>41.530230000000003</v>
      </c>
      <c r="EC28" s="187">
        <f>Яра!D67</f>
        <v>39.530230000000003</v>
      </c>
      <c r="ED28" s="187">
        <f t="shared" si="48"/>
        <v>95.18423086026732</v>
      </c>
      <c r="EE28" s="195">
        <f>Яра!C73</f>
        <v>5700.0415899999998</v>
      </c>
      <c r="EF28" s="195">
        <f>Яра!D73</f>
        <v>4680.8533800000005</v>
      </c>
      <c r="EG28" s="187">
        <f t="shared" si="49"/>
        <v>82.11963555164165</v>
      </c>
      <c r="EH28" s="195">
        <f>Яра!C78</f>
        <v>583.77499999999998</v>
      </c>
      <c r="EI28" s="195">
        <f>Яра!D78</f>
        <v>571.52724000000001</v>
      </c>
      <c r="EJ28" s="187">
        <f t="shared" si="50"/>
        <v>97.901972506530782</v>
      </c>
      <c r="EK28" s="195">
        <f>Яра!C82</f>
        <v>3212.143</v>
      </c>
      <c r="EL28" s="197">
        <f>Яра!D82</f>
        <v>2856.6754299999998</v>
      </c>
      <c r="EM28" s="187">
        <f t="shared" si="10"/>
        <v>88.933631846402847</v>
      </c>
      <c r="EN28" s="187">
        <f>Яра!C84</f>
        <v>0</v>
      </c>
      <c r="EO28" s="187">
        <f>Яра!D84</f>
        <v>0</v>
      </c>
      <c r="EP28" s="187" t="e">
        <f t="shared" si="11"/>
        <v>#DIV/0!</v>
      </c>
      <c r="EQ28" s="198">
        <f>Яра!C89</f>
        <v>55.5</v>
      </c>
      <c r="ER28" s="198">
        <f>Яра!D89</f>
        <v>48.567</v>
      </c>
      <c r="ES28" s="187">
        <f t="shared" si="51"/>
        <v>87.508108108108104</v>
      </c>
      <c r="ET28" s="187">
        <f>Яра!C95</f>
        <v>0</v>
      </c>
      <c r="EU28" s="187">
        <f>Яра!D95</f>
        <v>0</v>
      </c>
      <c r="EV28" s="184" t="e">
        <f t="shared" si="52"/>
        <v>#DIV/0!</v>
      </c>
      <c r="EW28" s="191">
        <f t="shared" si="12"/>
        <v>-2198.5853299999999</v>
      </c>
      <c r="EX28" s="191">
        <f t="shared" si="13"/>
        <v>-781.84651999999915</v>
      </c>
      <c r="EY28" s="184">
        <f t="shared" si="54"/>
        <v>35.561345258316592</v>
      </c>
      <c r="EZ28" s="192"/>
      <c r="FA28" s="193"/>
      <c r="FC28" s="193"/>
    </row>
    <row r="29" spans="1:170" s="169" customFormat="1" ht="15" customHeight="1">
      <c r="A29" s="181">
        <v>16</v>
      </c>
      <c r="B29" s="182" t="s">
        <v>319</v>
      </c>
      <c r="C29" s="183">
        <f t="shared" si="14"/>
        <v>9484.1769999999997</v>
      </c>
      <c r="D29" s="448">
        <f t="shared" si="0"/>
        <v>9355.6110900000003</v>
      </c>
      <c r="E29" s="184">
        <f t="shared" si="1"/>
        <v>98.644416800740871</v>
      </c>
      <c r="F29" s="185">
        <f t="shared" si="2"/>
        <v>1870.1619999999998</v>
      </c>
      <c r="G29" s="185">
        <f t="shared" si="3"/>
        <v>1748.6691499999999</v>
      </c>
      <c r="H29" s="184">
        <f t="shared" si="15"/>
        <v>93.503618937824641</v>
      </c>
      <c r="I29" s="186">
        <f>Яро!C6</f>
        <v>101.6</v>
      </c>
      <c r="J29" s="195">
        <f>Яро!D6</f>
        <v>110.96032</v>
      </c>
      <c r="K29" s="184">
        <f t="shared" si="16"/>
        <v>109.21291338582677</v>
      </c>
      <c r="L29" s="184">
        <f>Яро!C8</f>
        <v>156.87</v>
      </c>
      <c r="M29" s="184">
        <f>Яро!D8</f>
        <v>199.41806</v>
      </c>
      <c r="N29" s="184">
        <f t="shared" si="17"/>
        <v>127.1231338050615</v>
      </c>
      <c r="O29" s="184">
        <f>Яро!C9</f>
        <v>1.68</v>
      </c>
      <c r="P29" s="184">
        <f>Яро!D9</f>
        <v>1.9204399999999999</v>
      </c>
      <c r="Q29" s="184">
        <f t="shared" si="18"/>
        <v>114.31190476190476</v>
      </c>
      <c r="R29" s="184">
        <f>Яро!C10</f>
        <v>262.01</v>
      </c>
      <c r="S29" s="184">
        <f>Яро!D10</f>
        <v>290.90426000000002</v>
      </c>
      <c r="T29" s="184">
        <f t="shared" si="19"/>
        <v>111.02792259837413</v>
      </c>
      <c r="U29" s="184">
        <f>Яро!C11</f>
        <v>0</v>
      </c>
      <c r="V29" s="397">
        <f>Яро!D11</f>
        <v>-44.680900000000001</v>
      </c>
      <c r="W29" s="184" t="e">
        <f t="shared" si="20"/>
        <v>#DIV/0!</v>
      </c>
      <c r="X29" s="186">
        <f>Яро!C13</f>
        <v>5</v>
      </c>
      <c r="Y29" s="186">
        <f>Яро!D13</f>
        <v>0.1038</v>
      </c>
      <c r="Z29" s="184">
        <f t="shared" si="21"/>
        <v>2.0760000000000001</v>
      </c>
      <c r="AA29" s="186">
        <f>Яро!C15</f>
        <v>235</v>
      </c>
      <c r="AB29" s="186">
        <f>Яро!D15</f>
        <v>112.81574000000001</v>
      </c>
      <c r="AC29" s="184">
        <f t="shared" si="22"/>
        <v>48.006697872340425</v>
      </c>
      <c r="AD29" s="186">
        <f>Яро!C16</f>
        <v>1000</v>
      </c>
      <c r="AE29" s="186">
        <f>Яро!D16</f>
        <v>910.92930000000001</v>
      </c>
      <c r="AF29" s="184">
        <f t="shared" si="4"/>
        <v>91.09293000000001</v>
      </c>
      <c r="AG29" s="184">
        <f>Яро!C18</f>
        <v>8.0020000000000007</v>
      </c>
      <c r="AH29" s="184">
        <f>Яро!D18</f>
        <v>4.0810000000000004</v>
      </c>
      <c r="AI29" s="184">
        <f t="shared" si="23"/>
        <v>50.999750062484381</v>
      </c>
      <c r="AJ29" s="184"/>
      <c r="AK29" s="184"/>
      <c r="AL29" s="184" t="e">
        <f>AJ29/AK29*100</f>
        <v>#DIV/0!</v>
      </c>
      <c r="AM29" s="186">
        <v>0</v>
      </c>
      <c r="AN29" s="186">
        <v>0</v>
      </c>
      <c r="AO29" s="184" t="e">
        <f t="shared" si="6"/>
        <v>#DIV/0!</v>
      </c>
      <c r="AP29" s="186">
        <f>Яро!C26</f>
        <v>100</v>
      </c>
      <c r="AQ29" s="434">
        <f>Яро!D27</f>
        <v>162.21713</v>
      </c>
      <c r="AR29" s="184">
        <f t="shared" si="24"/>
        <v>162.21713</v>
      </c>
      <c r="AS29" s="188">
        <v>0</v>
      </c>
      <c r="AT29" s="203">
        <f>Яро!D28</f>
        <v>0</v>
      </c>
      <c r="AU29" s="184" t="e">
        <f t="shared" si="25"/>
        <v>#DIV/0!</v>
      </c>
      <c r="AV29" s="186"/>
      <c r="AW29" s="186"/>
      <c r="AX29" s="184" t="e">
        <f t="shared" si="26"/>
        <v>#DIV/0!</v>
      </c>
      <c r="AY29" s="184"/>
      <c r="AZ29" s="184"/>
      <c r="BA29" s="184" t="e">
        <f t="shared" si="27"/>
        <v>#DIV/0!</v>
      </c>
      <c r="BB29" s="184"/>
      <c r="BC29" s="184"/>
      <c r="BD29" s="184"/>
      <c r="BE29" s="184">
        <f>Яро!C33</f>
        <v>0</v>
      </c>
      <c r="BF29" s="184">
        <f>Яро!D31</f>
        <v>0</v>
      </c>
      <c r="BG29" s="184" t="e">
        <f t="shared" si="28"/>
        <v>#DIV/0!</v>
      </c>
      <c r="BH29" s="184"/>
      <c r="BI29" s="184"/>
      <c r="BJ29" s="184" t="e">
        <f t="shared" si="29"/>
        <v>#DIV/0!</v>
      </c>
      <c r="BK29" s="184"/>
      <c r="BL29" s="184"/>
      <c r="BM29" s="184"/>
      <c r="BN29" s="184"/>
      <c r="BO29" s="184"/>
      <c r="BP29" s="184" t="e">
        <f t="shared" si="30"/>
        <v>#DIV/0!</v>
      </c>
      <c r="BQ29" s="184">
        <f>Яро!C34</f>
        <v>0</v>
      </c>
      <c r="BR29" s="184">
        <f>Яро!D34</f>
        <v>0</v>
      </c>
      <c r="BS29" s="184" t="e">
        <f t="shared" si="31"/>
        <v>#DIV/0!</v>
      </c>
      <c r="BT29" s="184"/>
      <c r="BU29" s="184"/>
      <c r="BV29" s="189" t="e">
        <f t="shared" si="32"/>
        <v>#DIV/0!</v>
      </c>
      <c r="BW29" s="189"/>
      <c r="BX29" s="189"/>
      <c r="BY29" s="189" t="e">
        <f t="shared" si="33"/>
        <v>#DIV/0!</v>
      </c>
      <c r="BZ29" s="186">
        <f t="shared" si="34"/>
        <v>7614.0149999999994</v>
      </c>
      <c r="CA29" s="186">
        <f t="shared" si="35"/>
        <v>7606.9419399999997</v>
      </c>
      <c r="CB29" s="184">
        <f t="shared" si="53"/>
        <v>99.907104727269385</v>
      </c>
      <c r="CC29" s="187">
        <f>Яро!C39</f>
        <v>975.07100000000003</v>
      </c>
      <c r="CD29" s="187">
        <f>Яро!D39</f>
        <v>975.07100000000003</v>
      </c>
      <c r="CE29" s="184">
        <f t="shared" si="36"/>
        <v>100</v>
      </c>
      <c r="CF29" s="184">
        <f>Яро!C40</f>
        <v>770</v>
      </c>
      <c r="CG29" s="184">
        <f>Яро!D40</f>
        <v>770</v>
      </c>
      <c r="CH29" s="184">
        <f t="shared" si="37"/>
        <v>100</v>
      </c>
      <c r="CI29" s="184">
        <f>Яро!C41</f>
        <v>5479.07809</v>
      </c>
      <c r="CJ29" s="184">
        <f>Яро!D41</f>
        <v>5525.0719399999998</v>
      </c>
      <c r="CK29" s="184">
        <f t="shared" si="7"/>
        <v>100.83944505342868</v>
      </c>
      <c r="CL29" s="184">
        <f>Яро!C42</f>
        <v>88.876999999999995</v>
      </c>
      <c r="CM29" s="184">
        <f>Яро!D42</f>
        <v>88.876999999999995</v>
      </c>
      <c r="CN29" s="184">
        <f t="shared" si="8"/>
        <v>100</v>
      </c>
      <c r="CO29" s="184">
        <f>Яро!C44</f>
        <v>46.06691</v>
      </c>
      <c r="CP29" s="184">
        <f>Яро!D44</f>
        <v>0</v>
      </c>
      <c r="CQ29" s="184">
        <f>Яро!E44</f>
        <v>0</v>
      </c>
      <c r="CR29" s="184">
        <f>Яро!C45</f>
        <v>254.922</v>
      </c>
      <c r="CS29" s="184">
        <f>Яро!D45</f>
        <v>247.922</v>
      </c>
      <c r="CT29" s="184">
        <f t="shared" si="9"/>
        <v>97.254062026816044</v>
      </c>
      <c r="CU29" s="184"/>
      <c r="CV29" s="184"/>
      <c r="CW29" s="184"/>
      <c r="CX29" s="186"/>
      <c r="CY29" s="186"/>
      <c r="CZ29" s="184" t="e">
        <f t="shared" si="38"/>
        <v>#DIV/0!</v>
      </c>
      <c r="DA29" s="184"/>
      <c r="DB29" s="184"/>
      <c r="DC29" s="184"/>
      <c r="DD29" s="184"/>
      <c r="DE29" s="184"/>
      <c r="DF29" s="184"/>
      <c r="DG29" s="186">
        <f t="shared" si="39"/>
        <v>9537.8368699999992</v>
      </c>
      <c r="DH29" s="186">
        <f t="shared" si="39"/>
        <v>9417.7664599999989</v>
      </c>
      <c r="DI29" s="184">
        <f t="shared" si="40"/>
        <v>98.741114870839681</v>
      </c>
      <c r="DJ29" s="186">
        <f t="shared" si="41"/>
        <v>1333.3573799999999</v>
      </c>
      <c r="DK29" s="186">
        <f t="shared" si="41"/>
        <v>1323.1620599999999</v>
      </c>
      <c r="DL29" s="184">
        <f t="shared" si="42"/>
        <v>99.235364790196002</v>
      </c>
      <c r="DM29" s="184">
        <f>Яро!C55</f>
        <v>1322.10338</v>
      </c>
      <c r="DN29" s="184">
        <f>Яро!D55</f>
        <v>1314.90806</v>
      </c>
      <c r="DO29" s="184">
        <f t="shared" si="43"/>
        <v>99.455767218445501</v>
      </c>
      <c r="DP29" s="184">
        <f>Яро!C58</f>
        <v>0</v>
      </c>
      <c r="DQ29" s="184">
        <f>Яро!D58</f>
        <v>0</v>
      </c>
      <c r="DR29" s="184" t="e">
        <f t="shared" si="44"/>
        <v>#DIV/0!</v>
      </c>
      <c r="DS29" s="184">
        <f>Яро!C59</f>
        <v>3</v>
      </c>
      <c r="DT29" s="184">
        <f>Яро!D59</f>
        <v>0</v>
      </c>
      <c r="DU29" s="184">
        <f t="shared" si="45"/>
        <v>0</v>
      </c>
      <c r="DV29" s="184">
        <f>Яро!C60</f>
        <v>8.2539999999999996</v>
      </c>
      <c r="DW29" s="184">
        <f>Яро!D60</f>
        <v>8.2539999999999996</v>
      </c>
      <c r="DX29" s="184">
        <f t="shared" si="46"/>
        <v>100</v>
      </c>
      <c r="DY29" s="184">
        <f>Яро!C61</f>
        <v>85.376999999999995</v>
      </c>
      <c r="DZ29" s="184">
        <f>Яро!D61</f>
        <v>85.376999999999995</v>
      </c>
      <c r="EA29" s="184">
        <f t="shared" si="47"/>
        <v>100</v>
      </c>
      <c r="EB29" s="184">
        <f>Яро!C63</f>
        <v>15.635999999999999</v>
      </c>
      <c r="EC29" s="184">
        <f>Яро!D63</f>
        <v>15.635999999999999</v>
      </c>
      <c r="ED29" s="184">
        <f t="shared" si="48"/>
        <v>100</v>
      </c>
      <c r="EE29" s="186">
        <f>Яро!C68</f>
        <v>2265.9008699999999</v>
      </c>
      <c r="EF29" s="186">
        <f>Яро!D68</f>
        <v>2247.0132400000002</v>
      </c>
      <c r="EG29" s="184">
        <f t="shared" si="49"/>
        <v>99.166440586608729</v>
      </c>
      <c r="EH29" s="186">
        <f>Яро!C73</f>
        <v>491.68862000000001</v>
      </c>
      <c r="EI29" s="186">
        <f>Яро!D73</f>
        <v>400.70115999999996</v>
      </c>
      <c r="EJ29" s="184">
        <f t="shared" si="50"/>
        <v>81.494902200502423</v>
      </c>
      <c r="EK29" s="186">
        <f>Яро!C78</f>
        <v>5343.8620000000001</v>
      </c>
      <c r="EL29" s="190">
        <f>Яро!D77</f>
        <v>5343.8620000000001</v>
      </c>
      <c r="EM29" s="184">
        <f t="shared" si="10"/>
        <v>100</v>
      </c>
      <c r="EN29" s="184">
        <f>Яро!C79</f>
        <v>0</v>
      </c>
      <c r="EO29" s="184">
        <f>Яро!D79</f>
        <v>0</v>
      </c>
      <c r="EP29" s="184" t="e">
        <f t="shared" si="11"/>
        <v>#DIV/0!</v>
      </c>
      <c r="EQ29" s="185">
        <f>Яро!C84</f>
        <v>2.0150000000000001</v>
      </c>
      <c r="ER29" s="185">
        <f>Яро!D84</f>
        <v>2.0150000000000001</v>
      </c>
      <c r="ES29" s="184">
        <f t="shared" si="51"/>
        <v>100</v>
      </c>
      <c r="ET29" s="184">
        <f>Яро!C90</f>
        <v>0</v>
      </c>
      <c r="EU29" s="184">
        <f>Яро!D90</f>
        <v>0</v>
      </c>
      <c r="EV29" s="184" t="e">
        <f t="shared" si="52"/>
        <v>#DIV/0!</v>
      </c>
      <c r="EW29" s="191">
        <f t="shared" si="12"/>
        <v>-53.659869999999501</v>
      </c>
      <c r="EX29" s="191">
        <f t="shared" si="13"/>
        <v>-62.155369999998584</v>
      </c>
      <c r="EY29" s="184">
        <f t="shared" si="54"/>
        <v>115.83212929885809</v>
      </c>
      <c r="EZ29" s="192"/>
      <c r="FA29" s="193"/>
      <c r="FC29" s="193"/>
    </row>
    <row r="30" spans="1:170" s="169" customFormat="1" ht="17.25" customHeight="1">
      <c r="A30" s="201"/>
      <c r="B30" s="202"/>
      <c r="C30" s="183"/>
      <c r="D30" s="286"/>
      <c r="E30" s="184"/>
      <c r="F30" s="185"/>
      <c r="G30" s="186"/>
      <c r="H30" s="184"/>
      <c r="I30" s="186"/>
      <c r="J30" s="186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397"/>
      <c r="W30" s="184"/>
      <c r="X30" s="186"/>
      <c r="Y30" s="186"/>
      <c r="Z30" s="184"/>
      <c r="AA30" s="186"/>
      <c r="AB30" s="186"/>
      <c r="AC30" s="184"/>
      <c r="AD30" s="186"/>
      <c r="AE30" s="186"/>
      <c r="AF30" s="184"/>
      <c r="AG30" s="184"/>
      <c r="AH30" s="184"/>
      <c r="AI30" s="184"/>
      <c r="AJ30" s="184"/>
      <c r="AK30" s="184"/>
      <c r="AL30" s="184"/>
      <c r="AM30" s="186"/>
      <c r="AN30" s="186"/>
      <c r="AO30" s="184"/>
      <c r="AP30" s="186"/>
      <c r="AQ30" s="186"/>
      <c r="AR30" s="184"/>
      <c r="AS30" s="186"/>
      <c r="AT30" s="203"/>
      <c r="AU30" s="184"/>
      <c r="AV30" s="186"/>
      <c r="AW30" s="186"/>
      <c r="AX30" s="184"/>
      <c r="AY30" s="184"/>
      <c r="AZ30" s="184"/>
      <c r="BA30" s="184" t="e">
        <f t="shared" si="27"/>
        <v>#DIV/0!</v>
      </c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9"/>
      <c r="BW30" s="189"/>
      <c r="BX30" s="189"/>
      <c r="BY30" s="189"/>
      <c r="BZ30" s="203"/>
      <c r="CA30" s="186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6"/>
      <c r="CY30" s="186"/>
      <c r="CZ30" s="184"/>
      <c r="DA30" s="184"/>
      <c r="DB30" s="184"/>
      <c r="DC30" s="184"/>
      <c r="DD30" s="184"/>
      <c r="DE30" s="184"/>
      <c r="DF30" s="184"/>
      <c r="DG30" s="186"/>
      <c r="DH30" s="186"/>
      <c r="DI30" s="184"/>
      <c r="DJ30" s="186"/>
      <c r="DK30" s="203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222"/>
      <c r="EA30" s="184"/>
      <c r="EB30" s="184"/>
      <c r="EC30" s="184"/>
      <c r="ED30" s="184"/>
      <c r="EE30" s="186"/>
      <c r="EF30" s="186"/>
      <c r="EG30" s="184"/>
      <c r="EH30" s="186"/>
      <c r="EI30" s="186"/>
      <c r="EJ30" s="184"/>
      <c r="EK30" s="186"/>
      <c r="EL30" s="186"/>
      <c r="EM30" s="184"/>
      <c r="EN30" s="184"/>
      <c r="EO30" s="184"/>
      <c r="EP30" s="184"/>
      <c r="EQ30" s="185"/>
      <c r="ER30" s="185"/>
      <c r="ES30" s="184"/>
      <c r="ET30" s="184"/>
      <c r="EU30" s="184"/>
      <c r="EV30" s="184"/>
      <c r="EW30" s="191"/>
      <c r="EX30" s="191"/>
      <c r="EY30" s="184" t="e">
        <f t="shared" si="54"/>
        <v>#DIV/0!</v>
      </c>
      <c r="FA30" s="193"/>
      <c r="FC30" s="193"/>
    </row>
    <row r="31" spans="1:170" s="205" customFormat="1" ht="17.25" customHeight="1">
      <c r="A31" s="502" t="s">
        <v>180</v>
      </c>
      <c r="B31" s="503"/>
      <c r="C31" s="287">
        <f>SUM(C14:C29)</f>
        <v>107596.87147</v>
      </c>
      <c r="D31" s="287">
        <f>SUM(D14:D29)</f>
        <v>109222.30276999998</v>
      </c>
      <c r="E31" s="204">
        <f>D31/C31*100</f>
        <v>101.51066780826726</v>
      </c>
      <c r="F31" s="236">
        <f>SUM(F14:F29)</f>
        <v>38226.002599999993</v>
      </c>
      <c r="G31" s="235">
        <f>SUM(G14:G29)</f>
        <v>39213.833480000008</v>
      </c>
      <c r="H31" s="238">
        <f>G31/F31*100</f>
        <v>102.5841856663297</v>
      </c>
      <c r="I31" s="235">
        <f>SUM(I14:I29)</f>
        <v>5201.9000000000005</v>
      </c>
      <c r="J31" s="235">
        <f>SUM(J14:J29)</f>
        <v>5317.3203699999995</v>
      </c>
      <c r="K31" s="238">
        <f>J31/I31*100</f>
        <v>102.21881178031103</v>
      </c>
      <c r="L31" s="238">
        <f>SUM(L14:L29)</f>
        <v>3011.7400000000002</v>
      </c>
      <c r="M31" s="238">
        <f>SUM(M14:M29)</f>
        <v>3820.3234900000002</v>
      </c>
      <c r="N31" s="238">
        <f>M31/L31*100</f>
        <v>126.84771892660056</v>
      </c>
      <c r="O31" s="238">
        <f>SUM(O14:O29)</f>
        <v>32.24</v>
      </c>
      <c r="P31" s="238">
        <f>SUM(P14:P29)</f>
        <v>36.792310000000001</v>
      </c>
      <c r="Q31" s="238">
        <f>P31/O31*100</f>
        <v>114.12006823821339</v>
      </c>
      <c r="R31" s="238">
        <f>SUM(R14:R29)</f>
        <v>5091.2667000000001</v>
      </c>
      <c r="S31" s="238">
        <f>SUM(S14:S29)</f>
        <v>5572.9574499999999</v>
      </c>
      <c r="T31" s="238">
        <f>S31/R31*100</f>
        <v>109.46111799643101</v>
      </c>
      <c r="U31" s="238">
        <f>SUM(U14:U29)</f>
        <v>0</v>
      </c>
      <c r="V31" s="399">
        <f>SUM(V14:V29)</f>
        <v>-855.96907999999985</v>
      </c>
      <c r="W31" s="238" t="e">
        <f>V31/U31*100</f>
        <v>#DIV/0!</v>
      </c>
      <c r="X31" s="235">
        <f>SUM(X14:X29)</f>
        <v>470</v>
      </c>
      <c r="Y31" s="235">
        <f>SUM(Y14:Y29)</f>
        <v>425.55243999999993</v>
      </c>
      <c r="Z31" s="238">
        <f>Y31/X31*100</f>
        <v>90.54307234042551</v>
      </c>
      <c r="AA31" s="235">
        <f>SUM(AA14:AA29)</f>
        <v>3021.4</v>
      </c>
      <c r="AB31" s="235">
        <f>SUM(AB14:AB29)</f>
        <v>3950.0036800000003</v>
      </c>
      <c r="AC31" s="238">
        <f>AB31/AA31*100</f>
        <v>130.73421857417091</v>
      </c>
      <c r="AD31" s="235">
        <f>SUM(AD14:AD29)</f>
        <v>17949.2</v>
      </c>
      <c r="AE31" s="235">
        <f>SUM(AE14:AE29)</f>
        <v>17271.836919999998</v>
      </c>
      <c r="AF31" s="238">
        <f>AE31/AD31*100</f>
        <v>96.226221335769822</v>
      </c>
      <c r="AG31" s="360">
        <f>SUM(AG14:AG29)</f>
        <v>162.00200000000001</v>
      </c>
      <c r="AH31" s="238">
        <f>SUM(AH14:AH29)</f>
        <v>149.37821</v>
      </c>
      <c r="AI31" s="184">
        <f t="shared" si="23"/>
        <v>92.207633239095813</v>
      </c>
      <c r="AJ31" s="235">
        <f>AJ14+AJ15+AJ16+AJ17+AJ18+AJ19+AJ20+AJ21+AJ22+AJ23+AJ24+AJ25+AJ26+AJ27+AJ28+AJ29</f>
        <v>0</v>
      </c>
      <c r="AK31" s="235">
        <f>AK14+AK15+AK16+AK17+AK18+AK19+AK20+AK21+AK22+AK23+AK24+AK25+AK26+AK27+AK28+AK29</f>
        <v>0</v>
      </c>
      <c r="AL31" s="184" t="e">
        <f>AK31/AJ31*100</f>
        <v>#DIV/0!</v>
      </c>
      <c r="AM31" s="235">
        <f>SUM(AM14:AM29)</f>
        <v>0</v>
      </c>
      <c r="AN31" s="235">
        <f>SUM(AN14:AN29)</f>
        <v>0</v>
      </c>
      <c r="AO31" s="238" t="e">
        <f>AN31/AM31*100</f>
        <v>#DIV/0!</v>
      </c>
      <c r="AP31" s="235">
        <f>SUM(AP14:AP29)</f>
        <v>1571.3</v>
      </c>
      <c r="AQ31" s="437">
        <f>SUM(AQ14:AQ29)</f>
        <v>1497.2535</v>
      </c>
      <c r="AR31" s="238">
        <f>AQ31/AP31*100</f>
        <v>95.28756443709031</v>
      </c>
      <c r="AS31" s="235">
        <f>SUM(AS14:AS29)</f>
        <v>360</v>
      </c>
      <c r="AT31" s="368">
        <f>SUM(AT14:AT29)</f>
        <v>417.12724000000003</v>
      </c>
      <c r="AU31" s="238">
        <f>AT31/AS31*100</f>
        <v>115.86867777777779</v>
      </c>
      <c r="AV31" s="235">
        <f>SUM(AV14:AV29)</f>
        <v>0</v>
      </c>
      <c r="AW31" s="235">
        <f>SUM(AW14:AW29)</f>
        <v>0</v>
      </c>
      <c r="AX31" s="238" t="e">
        <f>AW31/AV31*100</f>
        <v>#DIV/0!</v>
      </c>
      <c r="AY31" s="238">
        <f>SUM(AY14:AY29)</f>
        <v>765</v>
      </c>
      <c r="AZ31" s="238">
        <f>SUM(AZ14:AZ29)</f>
        <v>1056.1355699999999</v>
      </c>
      <c r="BA31" s="184">
        <f t="shared" si="27"/>
        <v>138.05693725490195</v>
      </c>
      <c r="BB31" s="184">
        <f>SUM(BB14:BB29)</f>
        <v>0</v>
      </c>
      <c r="BC31" s="184">
        <f>SUM(BC14:BC29)</f>
        <v>0</v>
      </c>
      <c r="BD31" s="184" t="e">
        <f>BC31/BB31*100</f>
        <v>#DIV/0!</v>
      </c>
      <c r="BE31" s="236">
        <f>SUM(BE14:BE29)</f>
        <v>586</v>
      </c>
      <c r="BF31" s="235">
        <f>SUM(BF14:BF29)</f>
        <v>610.01600000000008</v>
      </c>
      <c r="BG31" s="235">
        <f t="shared" si="28"/>
        <v>104.09829351535838</v>
      </c>
      <c r="BH31" s="235">
        <f>SUM(BH14:BH29)</f>
        <v>0</v>
      </c>
      <c r="BI31" s="235">
        <f>SUM(BI14:BI29)</f>
        <v>0</v>
      </c>
      <c r="BJ31" s="238" t="e">
        <f>BI31/BH31*100</f>
        <v>#DIV/0!</v>
      </c>
      <c r="BK31" s="238">
        <f>SUM(BK14:BK29)</f>
        <v>0</v>
      </c>
      <c r="BL31" s="238">
        <f>BL15+BL27+BL28+BL19+BL22+BL26+BL18</f>
        <v>0</v>
      </c>
      <c r="BM31" s="238" t="e">
        <f>BL31/BK31*100</f>
        <v>#DIV/0!</v>
      </c>
      <c r="BN31" s="238">
        <f>BN14+BN15+BN16+BN17+BN18+BN19+BN20+BN21+BN22+BN23+BN24+BN25+BN26+BN27+BN28+BN29</f>
        <v>3.9539</v>
      </c>
      <c r="BO31" s="238">
        <f>BO14+BO15+BO16+BO17+BO18+BO19+BO20+BO21+BO22+BO23+BO24+BO25+BO26+BO27+BO28+BO29</f>
        <v>48.393390000000004</v>
      </c>
      <c r="BP31" s="238">
        <f>BO31/BN31*100</f>
        <v>1223.9406661776979</v>
      </c>
      <c r="BQ31" s="235">
        <f>SUM(BQ14:BQ29)</f>
        <v>0</v>
      </c>
      <c r="BR31" s="356">
        <f>SUM(BR14:BR29)</f>
        <v>-103.28801</v>
      </c>
      <c r="BS31" s="238" t="e">
        <f>BR31/BQ31*100</f>
        <v>#DIV/0!</v>
      </c>
      <c r="BT31" s="238">
        <f t="shared" ref="BT31:BY31" si="55">SUM(BT14:BT29)</f>
        <v>0</v>
      </c>
      <c r="BU31" s="238"/>
      <c r="BV31" s="238" t="e">
        <f t="shared" si="55"/>
        <v>#DIV/0!</v>
      </c>
      <c r="BW31" s="238">
        <f t="shared" si="55"/>
        <v>0</v>
      </c>
      <c r="BX31" s="238">
        <f t="shared" si="55"/>
        <v>0</v>
      </c>
      <c r="BY31" s="289" t="e">
        <f t="shared" si="55"/>
        <v>#DIV/0!</v>
      </c>
      <c r="BZ31" s="236">
        <f>SUM(BZ14:BZ29)</f>
        <v>69370.868870000006</v>
      </c>
      <c r="CA31" s="235">
        <f>SUM(CA14:CA29)</f>
        <v>70008.469289999994</v>
      </c>
      <c r="CB31" s="235">
        <f t="shared" si="53"/>
        <v>100.91911839996533</v>
      </c>
      <c r="CC31" s="235">
        <f>SUM(CC14:CC29)</f>
        <v>28718.623999999996</v>
      </c>
      <c r="CD31" s="235">
        <f>SUM(CD14:CD29)</f>
        <v>28718.623999999996</v>
      </c>
      <c r="CE31" s="235">
        <f>CD31/CC31*100</f>
        <v>100</v>
      </c>
      <c r="CF31" s="400">
        <f>SUM(CF14:CF29)</f>
        <v>6269.9520999999995</v>
      </c>
      <c r="CG31" s="446">
        <f>SUM(CG14:CG29)</f>
        <v>6269.9520999999995</v>
      </c>
      <c r="CH31" s="235">
        <f>CG31/CF31*100</f>
        <v>100</v>
      </c>
      <c r="CI31" s="235">
        <f>SUM(CI14:CI29)</f>
        <v>28037.654859999999</v>
      </c>
      <c r="CJ31" s="235">
        <f>SUM(CJ14:CJ29)</f>
        <v>27622.658150000003</v>
      </c>
      <c r="CK31" s="235">
        <f>CJ31/CI31*100</f>
        <v>98.519859410238865</v>
      </c>
      <c r="CL31" s="235">
        <f>SUM(CL14:CL29)</f>
        <v>2124.3000000000002</v>
      </c>
      <c r="CM31" s="235">
        <f>SUM(CM14:CM29)</f>
        <v>2124.3000000000002</v>
      </c>
      <c r="CN31" s="235">
        <f t="shared" si="8"/>
        <v>100</v>
      </c>
      <c r="CO31" s="235">
        <f>SUM(CO14:CO29)</f>
        <v>1006.06691</v>
      </c>
      <c r="CP31" s="235">
        <f>SUM(CP14:CP29)</f>
        <v>960</v>
      </c>
      <c r="CQ31" s="235">
        <f>CP31/CO31*100</f>
        <v>95.421088841894218</v>
      </c>
      <c r="CR31" s="235">
        <f>SUM(CR14:CR29)</f>
        <v>3214.2710000000002</v>
      </c>
      <c r="CS31" s="235">
        <f>SUM(CS14:CS29)</f>
        <v>4801.5048299999989</v>
      </c>
      <c r="CT31" s="235">
        <f t="shared" si="9"/>
        <v>149.3808340989294</v>
      </c>
      <c r="CU31" s="235">
        <f>SUM(CU14:CU29)</f>
        <v>0</v>
      </c>
      <c r="CV31" s="235">
        <f>SUM(CV14:CV29)</f>
        <v>-488.56979000000001</v>
      </c>
      <c r="CW31" s="235" t="e">
        <f>CV31/CU31*100</f>
        <v>#DIV/0!</v>
      </c>
      <c r="CX31" s="235">
        <f>SUM(CX14:CX29)</f>
        <v>0</v>
      </c>
      <c r="CY31" s="235">
        <f>SUM(CY14:CY29)</f>
        <v>0</v>
      </c>
      <c r="CZ31" s="238" t="e">
        <f>CY31/CX31*100</f>
        <v>#DIV/0!</v>
      </c>
      <c r="DA31" s="238">
        <f>DA14+DA15+DA16+DA17+DA18+DA19+DA20+DA21+DA22+DA23+DA24+DA25+DA26+DA27+DA28+DA29</f>
        <v>0</v>
      </c>
      <c r="DB31" s="238">
        <f>DB14+DB15+DB16+DB17+DB18+DB19+DB20+DB21+DB22+DB23+DB24+DB25+DB26+DB27+DB28+DB29</f>
        <v>0</v>
      </c>
      <c r="DC31" s="238" t="e">
        <f>DB31/DA31*100</f>
        <v>#DIV/0!</v>
      </c>
      <c r="DD31" s="238">
        <f>DD14+DD15+DD16+DD17+DD18+DD19+DD20+DD21+DD22+DD23+DD24+DD25+DD26+DD27+DD28+DD29</f>
        <v>0</v>
      </c>
      <c r="DE31" s="238">
        <f>DE14+DE15+DE16+DE17+DE18+DE19+DE20+DE21+DE22+DE23+DE24+DE25+DE26+DE27+DE28+DE29</f>
        <v>0</v>
      </c>
      <c r="DF31" s="238">
        <v>0</v>
      </c>
      <c r="DG31" s="236">
        <f>SUM(DG14:DG29)</f>
        <v>112858.98794000001</v>
      </c>
      <c r="DH31" s="236">
        <f>SUM(DH14:DH29)</f>
        <v>108278.22908</v>
      </c>
      <c r="DI31" s="238">
        <f>DH31/DG31*100</f>
        <v>95.941166101511286</v>
      </c>
      <c r="DJ31" s="236">
        <f>SUM(DJ14:DJ29)</f>
        <v>23034.230220000001</v>
      </c>
      <c r="DK31" s="236">
        <f>SUM(DK14:DK29)</f>
        <v>22358.213759999999</v>
      </c>
      <c r="DL31" s="238">
        <f>DK31/DJ31*100</f>
        <v>97.065165826930752</v>
      </c>
      <c r="DM31" s="235">
        <f>SUM(DM14:DM29)</f>
        <v>22586.01872</v>
      </c>
      <c r="DN31" s="236">
        <f>SUM(DN14:DN29)</f>
        <v>22001.032300000003</v>
      </c>
      <c r="DO31" s="238">
        <f>DN31/DM31*100</f>
        <v>97.409962210462581</v>
      </c>
      <c r="DP31" s="235">
        <f>SUM(DP14:DP29)</f>
        <v>168.8</v>
      </c>
      <c r="DQ31" s="235">
        <f>SUM(DQ14:DQ29)</f>
        <v>168.8</v>
      </c>
      <c r="DR31" s="238">
        <f>DQ31/DP31*100</f>
        <v>100</v>
      </c>
      <c r="DS31" s="253">
        <f>SUM(DS14:DS29)</f>
        <v>78.010000000000005</v>
      </c>
      <c r="DT31" s="238">
        <f>SUM(DT14:DT29)</f>
        <v>0</v>
      </c>
      <c r="DU31" s="238">
        <f>DT31/DS31*100</f>
        <v>0</v>
      </c>
      <c r="DV31" s="361">
        <f>SUM(DV14:DV29)</f>
        <v>201.40149999999997</v>
      </c>
      <c r="DW31" s="238">
        <f>SUM(DW14:DW29)</f>
        <v>188.38146</v>
      </c>
      <c r="DX31" s="184">
        <f>DW31/DV31*100</f>
        <v>93.535281514785169</v>
      </c>
      <c r="DY31" s="238">
        <f>SUM(DY14:DY29)</f>
        <v>2049</v>
      </c>
      <c r="DZ31" s="253">
        <f>SUM(DZ14:DZ29)</f>
        <v>2049</v>
      </c>
      <c r="EA31" s="235">
        <f t="shared" si="47"/>
        <v>100</v>
      </c>
      <c r="EB31" s="253">
        <f>SUM(EB14:EB29)</f>
        <v>377.04791000000006</v>
      </c>
      <c r="EC31" s="253">
        <f>SUM(EC14:EC29)</f>
        <v>344.73154</v>
      </c>
      <c r="ED31" s="184">
        <f t="shared" si="48"/>
        <v>91.429107775720055</v>
      </c>
      <c r="EE31" s="235">
        <f>SUM(EE14:EE29)</f>
        <v>35524.43995</v>
      </c>
      <c r="EF31" s="236">
        <f>SUM(EF14:EF29)</f>
        <v>33119.829539999999</v>
      </c>
      <c r="EG31" s="238">
        <f>EF31/EE31*100</f>
        <v>93.231109587133687</v>
      </c>
      <c r="EH31" s="356">
        <f>SUM(EH14:EH29)</f>
        <v>19030.135760000005</v>
      </c>
      <c r="EI31" s="236">
        <f>SUM(EI14:EI29)</f>
        <v>18116.910819999997</v>
      </c>
      <c r="EJ31" s="238">
        <f>EI31/EH31*100</f>
        <v>95.201164345240556</v>
      </c>
      <c r="EK31" s="447">
        <f>SUM(EK14:EK29)</f>
        <v>32642.129099999998</v>
      </c>
      <c r="EL31" s="236">
        <f>SUM(EL14:EL29)</f>
        <v>32101.003420000001</v>
      </c>
      <c r="EM31" s="238">
        <f>EL31/EK31*100</f>
        <v>98.342247595607972</v>
      </c>
      <c r="EN31" s="236">
        <f>SUM(EN14:EN29)</f>
        <v>14</v>
      </c>
      <c r="EO31" s="236">
        <f>SUM(EO14:EO29)</f>
        <v>14</v>
      </c>
      <c r="EP31" s="238">
        <f>EO31/EN31*100</f>
        <v>100</v>
      </c>
      <c r="EQ31" s="235">
        <f>SUM(EQ14:EQ29)</f>
        <v>188.005</v>
      </c>
      <c r="ER31" s="235">
        <f>SUM(ER14:ER29)</f>
        <v>174.54</v>
      </c>
      <c r="ES31" s="238">
        <f>ER31/EQ31*100</f>
        <v>92.837956437328799</v>
      </c>
      <c r="ET31" s="238">
        <f>SUM(ET14:ET29)</f>
        <v>0</v>
      </c>
      <c r="EU31" s="288">
        <f>SUM(EU14:EU29)</f>
        <v>0</v>
      </c>
      <c r="EV31" s="184" t="e">
        <f>EU31/ET31*100</f>
        <v>#DIV/0!</v>
      </c>
      <c r="EW31" s="253">
        <f>SUM(EW14:EW29)</f>
        <v>-5262.1164699999963</v>
      </c>
      <c r="EX31" s="238">
        <f>SUM(EX14:EX29)</f>
        <v>944.07369000000244</v>
      </c>
      <c r="EY31" s="184">
        <f>EX31/EW31*100</f>
        <v>-17.940950098354687</v>
      </c>
    </row>
    <row r="32" spans="1:170" ht="0.75" customHeight="1">
      <c r="C32" s="206">
        <v>85422.769</v>
      </c>
      <c r="D32" s="207">
        <v>6971.8725999999997</v>
      </c>
      <c r="F32" s="208">
        <v>29714</v>
      </c>
      <c r="G32" s="209">
        <v>2141.1016</v>
      </c>
      <c r="I32" s="209">
        <v>4023</v>
      </c>
      <c r="J32" s="209">
        <v>517.83318999999995</v>
      </c>
      <c r="L32" s="153">
        <v>2648.3</v>
      </c>
      <c r="M32" s="210">
        <v>275.27994000000001</v>
      </c>
      <c r="O32" s="153">
        <v>72.06</v>
      </c>
      <c r="P32" s="211">
        <v>5.5919400000000001</v>
      </c>
      <c r="R32" s="212">
        <v>5285.44</v>
      </c>
      <c r="S32" s="153">
        <v>437.64443</v>
      </c>
      <c r="V32" s="211">
        <v>-57.366509999999998</v>
      </c>
      <c r="X32" s="209">
        <v>450</v>
      </c>
      <c r="Y32" s="209">
        <v>50.572130000000001</v>
      </c>
      <c r="AA32" s="209">
        <v>1552</v>
      </c>
      <c r="AB32" s="209">
        <v>33.929760000000002</v>
      </c>
      <c r="AD32" s="209">
        <v>14314</v>
      </c>
      <c r="AE32" s="213">
        <v>765.26733999999999</v>
      </c>
      <c r="AG32" s="209">
        <v>264</v>
      </c>
      <c r="AH32" s="209">
        <v>28.45</v>
      </c>
      <c r="AJ32" s="209"/>
      <c r="AK32" s="213">
        <v>4.1130100000000001</v>
      </c>
      <c r="AM32" s="209">
        <v>2902</v>
      </c>
      <c r="AN32" s="209"/>
      <c r="AP32" s="153">
        <v>400</v>
      </c>
      <c r="AQ32" s="153">
        <v>102</v>
      </c>
      <c r="AS32" s="214">
        <v>325.2</v>
      </c>
      <c r="AT32" s="214">
        <v>214</v>
      </c>
      <c r="AY32" s="211"/>
      <c r="AZ32" s="211"/>
      <c r="BC32" s="215"/>
      <c r="BE32" s="216">
        <v>380</v>
      </c>
      <c r="BF32" s="209">
        <v>0</v>
      </c>
      <c r="BH32" s="217"/>
      <c r="BI32" s="209"/>
      <c r="BL32" s="216"/>
      <c r="BN32" s="209"/>
      <c r="BO32" s="209">
        <v>20</v>
      </c>
      <c r="BQ32" s="212"/>
      <c r="BR32" s="214">
        <v>13.81555</v>
      </c>
      <c r="BZ32" s="218">
        <v>55708.769</v>
      </c>
      <c r="CA32" s="209">
        <v>4830.7709999999997</v>
      </c>
      <c r="CC32" s="216">
        <v>26193.4</v>
      </c>
      <c r="CD32" s="216">
        <v>4365.5829999999996</v>
      </c>
      <c r="CE32" s="214"/>
      <c r="CF32" s="218">
        <v>2800</v>
      </c>
      <c r="CG32" s="209">
        <v>0</v>
      </c>
      <c r="CH32" s="214"/>
      <c r="CI32" s="209">
        <v>20988.289000000001</v>
      </c>
      <c r="CJ32" s="209">
        <v>226.78800000000001</v>
      </c>
      <c r="CK32" s="214"/>
      <c r="CL32" s="209">
        <v>5727.08</v>
      </c>
      <c r="CM32" s="209">
        <v>238.4</v>
      </c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DA32" s="212"/>
      <c r="DB32" s="212"/>
      <c r="DD32" s="208"/>
      <c r="DE32" s="218">
        <v>0</v>
      </c>
      <c r="DG32" s="218">
        <v>86467.619000000006</v>
      </c>
      <c r="DH32" s="218">
        <v>8044.3139600000004</v>
      </c>
      <c r="DJ32" s="214">
        <v>18659.286</v>
      </c>
      <c r="DK32" s="208">
        <v>1993.6542099999999</v>
      </c>
      <c r="DM32" s="209">
        <v>18579.286</v>
      </c>
      <c r="DN32" s="209">
        <v>1993.6542099999999</v>
      </c>
      <c r="DP32" s="218"/>
      <c r="DQ32" s="216"/>
      <c r="DS32" s="209">
        <v>80</v>
      </c>
      <c r="DT32" s="209"/>
      <c r="DV32" s="209">
        <v>0</v>
      </c>
      <c r="DW32" s="218">
        <v>0</v>
      </c>
      <c r="DY32" s="208">
        <v>1682.5</v>
      </c>
      <c r="DZ32" s="208">
        <v>141.53659999999999</v>
      </c>
      <c r="EB32" s="209">
        <v>191.3</v>
      </c>
      <c r="EC32" s="218">
        <v>8.5</v>
      </c>
      <c r="EE32" s="214">
        <v>29388.388999999999</v>
      </c>
      <c r="EF32" s="208">
        <v>1077.7133699999999</v>
      </c>
      <c r="EH32" s="208">
        <v>15404.812</v>
      </c>
      <c r="EI32" s="208">
        <v>1328.9402500000001</v>
      </c>
      <c r="EK32" s="208">
        <v>24128.7</v>
      </c>
      <c r="EL32" s="208">
        <v>3489.1705299999999</v>
      </c>
      <c r="EN32" s="209">
        <v>0</v>
      </c>
      <c r="EO32" s="209">
        <v>0</v>
      </c>
      <c r="EQ32" s="209">
        <v>112</v>
      </c>
      <c r="ER32" s="219">
        <v>4.8</v>
      </c>
      <c r="ET32" s="209"/>
      <c r="EU32" s="209"/>
      <c r="EW32" s="214"/>
    </row>
    <row r="33" spans="3:155" ht="27" hidden="1" customHeight="1">
      <c r="C33" s="209">
        <f>C32-C31</f>
        <v>-22174.102469999998</v>
      </c>
      <c r="D33" s="209">
        <f t="shared" ref="D33:BO33" si="56">D32-D31</f>
        <v>-102250.43016999998</v>
      </c>
      <c r="E33" s="209"/>
      <c r="F33" s="209">
        <f t="shared" si="56"/>
        <v>-8512.0025999999925</v>
      </c>
      <c r="G33" s="209">
        <f t="shared" si="56"/>
        <v>-37072.731880000007</v>
      </c>
      <c r="H33" s="209"/>
      <c r="I33" s="209">
        <f t="shared" si="56"/>
        <v>-1178.9000000000005</v>
      </c>
      <c r="J33" s="209">
        <f t="shared" si="56"/>
        <v>-4799.4871799999992</v>
      </c>
      <c r="K33" s="209"/>
      <c r="L33" s="209">
        <f t="shared" si="56"/>
        <v>-363.44000000000005</v>
      </c>
      <c r="M33" s="209">
        <f t="shared" si="56"/>
        <v>-3545.0435500000003</v>
      </c>
      <c r="N33" s="209"/>
      <c r="O33" s="209">
        <f t="shared" si="56"/>
        <v>39.82</v>
      </c>
      <c r="P33" s="209">
        <f t="shared" si="56"/>
        <v>-31.200369999999999</v>
      </c>
      <c r="Q33" s="209"/>
      <c r="R33" s="209">
        <f t="shared" si="56"/>
        <v>194.17329999999947</v>
      </c>
      <c r="S33" s="209">
        <f t="shared" si="56"/>
        <v>-5135.3130199999996</v>
      </c>
      <c r="T33" s="209"/>
      <c r="U33" s="209">
        <f t="shared" si="56"/>
        <v>0</v>
      </c>
      <c r="V33" s="209">
        <f t="shared" si="56"/>
        <v>798.6025699999999</v>
      </c>
      <c r="W33" s="209" t="e">
        <f t="shared" si="56"/>
        <v>#DIV/0!</v>
      </c>
      <c r="X33" s="209">
        <f t="shared" si="56"/>
        <v>-20</v>
      </c>
      <c r="Y33" s="209">
        <f t="shared" si="56"/>
        <v>-374.98030999999992</v>
      </c>
      <c r="Z33" s="209"/>
      <c r="AA33" s="209">
        <f t="shared" si="56"/>
        <v>-1469.4</v>
      </c>
      <c r="AB33" s="209">
        <f t="shared" si="56"/>
        <v>-3916.0739200000003</v>
      </c>
      <c r="AC33" s="209"/>
      <c r="AD33" s="209">
        <f t="shared" si="56"/>
        <v>-3635.2000000000007</v>
      </c>
      <c r="AE33" s="209">
        <f t="shared" si="56"/>
        <v>-16506.569579999999</v>
      </c>
      <c r="AF33" s="209"/>
      <c r="AG33" s="209">
        <f t="shared" si="56"/>
        <v>101.99799999999999</v>
      </c>
      <c r="AH33" s="209">
        <f t="shared" si="56"/>
        <v>-120.92820999999999</v>
      </c>
      <c r="AI33" s="209"/>
      <c r="AJ33" s="209">
        <f t="shared" si="56"/>
        <v>0</v>
      </c>
      <c r="AK33" s="209">
        <f t="shared" si="56"/>
        <v>4.1130100000000001</v>
      </c>
      <c r="AL33" s="209"/>
      <c r="AM33" s="209">
        <f t="shared" si="56"/>
        <v>2902</v>
      </c>
      <c r="AN33" s="209">
        <f t="shared" si="56"/>
        <v>0</v>
      </c>
      <c r="AO33" s="209" t="e">
        <f t="shared" si="56"/>
        <v>#DIV/0!</v>
      </c>
      <c r="AP33" s="209">
        <f t="shared" si="56"/>
        <v>-1171.3</v>
      </c>
      <c r="AQ33" s="209">
        <f t="shared" si="56"/>
        <v>-1395.2535</v>
      </c>
      <c r="AR33" s="209"/>
      <c r="AS33" s="209">
        <f t="shared" si="56"/>
        <v>-34.800000000000011</v>
      </c>
      <c r="AT33" s="209">
        <f t="shared" si="56"/>
        <v>-203.12724000000003</v>
      </c>
      <c r="AU33" s="209"/>
      <c r="AV33" s="209">
        <f t="shared" si="56"/>
        <v>0</v>
      </c>
      <c r="AW33" s="209">
        <f t="shared" si="56"/>
        <v>0</v>
      </c>
      <c r="AX33" s="209" t="e">
        <f t="shared" si="56"/>
        <v>#DIV/0!</v>
      </c>
      <c r="AY33" s="209">
        <f t="shared" si="56"/>
        <v>-765</v>
      </c>
      <c r="AZ33" s="209">
        <f t="shared" si="56"/>
        <v>-1056.1355699999999</v>
      </c>
      <c r="BA33" s="209"/>
      <c r="BB33" s="209">
        <f t="shared" si="56"/>
        <v>0</v>
      </c>
      <c r="BC33" s="209">
        <f t="shared" si="56"/>
        <v>0</v>
      </c>
      <c r="BD33" s="209" t="e">
        <f t="shared" si="56"/>
        <v>#DIV/0!</v>
      </c>
      <c r="BE33" s="209">
        <f t="shared" si="56"/>
        <v>-206</v>
      </c>
      <c r="BF33" s="209">
        <f t="shared" si="56"/>
        <v>-610.01600000000008</v>
      </c>
      <c r="BG33" s="209">
        <f t="shared" si="56"/>
        <v>-104.09829351535838</v>
      </c>
      <c r="BH33" s="209">
        <f t="shared" si="56"/>
        <v>0</v>
      </c>
      <c r="BI33" s="209">
        <f t="shared" si="56"/>
        <v>0</v>
      </c>
      <c r="BJ33" s="209" t="e">
        <f t="shared" si="56"/>
        <v>#DIV/0!</v>
      </c>
      <c r="BK33" s="209">
        <f t="shared" si="56"/>
        <v>0</v>
      </c>
      <c r="BL33" s="209">
        <f t="shared" si="56"/>
        <v>0</v>
      </c>
      <c r="BM33" s="209" t="e">
        <f t="shared" si="56"/>
        <v>#DIV/0!</v>
      </c>
      <c r="BN33" s="209">
        <f t="shared" si="56"/>
        <v>-3.9539</v>
      </c>
      <c r="BO33" s="209">
        <f t="shared" si="56"/>
        <v>-28.393390000000004</v>
      </c>
      <c r="BP33" s="209"/>
      <c r="BQ33" s="209">
        <f t="shared" ref="BQ33:DZ33" si="57">BQ32-BQ31</f>
        <v>0</v>
      </c>
      <c r="BR33" s="209">
        <f t="shared" si="57"/>
        <v>117.10356</v>
      </c>
      <c r="BS33" s="209"/>
      <c r="BT33" s="209">
        <f t="shared" si="57"/>
        <v>0</v>
      </c>
      <c r="BU33" s="209">
        <f t="shared" si="57"/>
        <v>0</v>
      </c>
      <c r="BV33" s="209" t="e">
        <f t="shared" si="57"/>
        <v>#DIV/0!</v>
      </c>
      <c r="BW33" s="209">
        <f t="shared" si="57"/>
        <v>0</v>
      </c>
      <c r="BX33" s="209">
        <f t="shared" si="57"/>
        <v>0</v>
      </c>
      <c r="BY33" s="209" t="e">
        <f t="shared" si="57"/>
        <v>#DIV/0!</v>
      </c>
      <c r="BZ33" s="209">
        <f t="shared" si="57"/>
        <v>-13662.099870000005</v>
      </c>
      <c r="CA33" s="209">
        <f t="shared" si="57"/>
        <v>-65177.698289999993</v>
      </c>
      <c r="CB33" s="209"/>
      <c r="CC33" s="209">
        <f t="shared" si="57"/>
        <v>-2525.2239999999947</v>
      </c>
      <c r="CD33" s="209">
        <f t="shared" si="57"/>
        <v>-24353.040999999997</v>
      </c>
      <c r="CE33" s="209"/>
      <c r="CF33" s="209">
        <f t="shared" si="57"/>
        <v>-3469.9520999999995</v>
      </c>
      <c r="CG33" s="209">
        <f t="shared" si="57"/>
        <v>-6269.9520999999995</v>
      </c>
      <c r="CH33" s="209"/>
      <c r="CI33" s="209">
        <f t="shared" si="57"/>
        <v>-7049.3658599999981</v>
      </c>
      <c r="CJ33" s="209">
        <f t="shared" si="57"/>
        <v>-27395.870150000002</v>
      </c>
      <c r="CK33" s="209"/>
      <c r="CL33" s="209">
        <f t="shared" si="57"/>
        <v>3602.7799999999997</v>
      </c>
      <c r="CM33" s="209">
        <f t="shared" si="57"/>
        <v>-1885.9</v>
      </c>
      <c r="CN33" s="209"/>
      <c r="CO33" s="209">
        <f t="shared" si="57"/>
        <v>-1006.06691</v>
      </c>
      <c r="CP33" s="209">
        <f t="shared" si="57"/>
        <v>-960</v>
      </c>
      <c r="CQ33" s="209"/>
      <c r="CR33" s="209">
        <f t="shared" si="57"/>
        <v>-3214.2710000000002</v>
      </c>
      <c r="CS33" s="209">
        <f t="shared" si="57"/>
        <v>-4801.5048299999989</v>
      </c>
      <c r="CT33" s="209"/>
      <c r="CU33" s="209">
        <f t="shared" si="57"/>
        <v>0</v>
      </c>
      <c r="CV33" s="209">
        <f t="shared" si="57"/>
        <v>488.56979000000001</v>
      </c>
      <c r="CW33" s="209" t="e">
        <f t="shared" si="57"/>
        <v>#DIV/0!</v>
      </c>
      <c r="CX33" s="209">
        <f t="shared" si="57"/>
        <v>0</v>
      </c>
      <c r="CY33" s="209">
        <f t="shared" si="57"/>
        <v>0</v>
      </c>
      <c r="CZ33" s="209" t="e">
        <f t="shared" si="57"/>
        <v>#DIV/0!</v>
      </c>
      <c r="DA33" s="209">
        <f t="shared" si="57"/>
        <v>0</v>
      </c>
      <c r="DB33" s="209">
        <f t="shared" si="57"/>
        <v>0</v>
      </c>
      <c r="DC33" s="209" t="e">
        <f t="shared" si="57"/>
        <v>#DIV/0!</v>
      </c>
      <c r="DD33" s="209">
        <f t="shared" si="57"/>
        <v>0</v>
      </c>
      <c r="DE33" s="209">
        <f t="shared" si="57"/>
        <v>0</v>
      </c>
      <c r="DF33" s="209">
        <f t="shared" si="57"/>
        <v>0</v>
      </c>
      <c r="DG33" s="209">
        <f t="shared" si="57"/>
        <v>-26391.36894</v>
      </c>
      <c r="DH33" s="209">
        <f t="shared" si="57"/>
        <v>-100233.91512000001</v>
      </c>
      <c r="DI33" s="209"/>
      <c r="DJ33" s="209">
        <f t="shared" si="57"/>
        <v>-4374.9442200000012</v>
      </c>
      <c r="DK33" s="209">
        <f t="shared" si="57"/>
        <v>-20364.559549999998</v>
      </c>
      <c r="DL33" s="209"/>
      <c r="DM33" s="209">
        <f t="shared" si="57"/>
        <v>-4006.73272</v>
      </c>
      <c r="DN33" s="209">
        <f t="shared" si="57"/>
        <v>-20007.378090000002</v>
      </c>
      <c r="DO33" s="209"/>
      <c r="DP33" s="209">
        <f t="shared" si="57"/>
        <v>-168.8</v>
      </c>
      <c r="DQ33" s="209">
        <f t="shared" si="57"/>
        <v>-168.8</v>
      </c>
      <c r="DR33" s="209">
        <f t="shared" si="57"/>
        <v>-100</v>
      </c>
      <c r="DS33" s="209">
        <f t="shared" si="57"/>
        <v>1.9899999999999949</v>
      </c>
      <c r="DT33" s="209">
        <f t="shared" si="57"/>
        <v>0</v>
      </c>
      <c r="DU33" s="209">
        <f t="shared" si="57"/>
        <v>0</v>
      </c>
      <c r="DV33" s="209">
        <f t="shared" si="57"/>
        <v>-201.40149999999997</v>
      </c>
      <c r="DW33" s="209">
        <f t="shared" si="57"/>
        <v>-188.38146</v>
      </c>
      <c r="DX33" s="209"/>
      <c r="DY33" s="209">
        <f t="shared" si="57"/>
        <v>-366.5</v>
      </c>
      <c r="DZ33" s="209">
        <f t="shared" si="57"/>
        <v>-1907.4634000000001</v>
      </c>
      <c r="EA33" s="209"/>
      <c r="EB33" s="209">
        <f t="shared" ref="EB33:EX33" si="58">EB32-EB31</f>
        <v>-185.74791000000005</v>
      </c>
      <c r="EC33" s="209">
        <f t="shared" si="58"/>
        <v>-336.23154</v>
      </c>
      <c r="ED33" s="209"/>
      <c r="EE33" s="209">
        <f t="shared" si="58"/>
        <v>-6136.0509500000007</v>
      </c>
      <c r="EF33" s="209">
        <f t="shared" si="58"/>
        <v>-32042.116169999998</v>
      </c>
      <c r="EG33" s="209"/>
      <c r="EH33" s="209">
        <f t="shared" si="58"/>
        <v>-3625.3237600000048</v>
      </c>
      <c r="EI33" s="209">
        <f t="shared" si="58"/>
        <v>-16787.970569999998</v>
      </c>
      <c r="EJ33" s="209"/>
      <c r="EK33" s="209">
        <f t="shared" si="58"/>
        <v>-8513.4290999999976</v>
      </c>
      <c r="EL33" s="209">
        <f t="shared" si="58"/>
        <v>-28611.832890000001</v>
      </c>
      <c r="EM33" s="209"/>
      <c r="EN33" s="209">
        <f t="shared" si="58"/>
        <v>-14</v>
      </c>
      <c r="EO33" s="209">
        <f t="shared" si="58"/>
        <v>-14</v>
      </c>
      <c r="EP33" s="209"/>
      <c r="EQ33" s="209">
        <f t="shared" si="58"/>
        <v>-76.004999999999995</v>
      </c>
      <c r="ER33" s="209">
        <f t="shared" si="58"/>
        <v>-169.73999999999998</v>
      </c>
      <c r="ES33" s="209"/>
      <c r="ET33" s="209">
        <f t="shared" si="58"/>
        <v>0</v>
      </c>
      <c r="EU33" s="209">
        <f t="shared" si="58"/>
        <v>0</v>
      </c>
      <c r="EV33" s="209"/>
      <c r="EW33" s="209">
        <f t="shared" si="58"/>
        <v>5262.1164699999963</v>
      </c>
      <c r="EX33" s="209">
        <f t="shared" si="58"/>
        <v>-944.07369000000244</v>
      </c>
      <c r="EY33" s="209"/>
    </row>
    <row r="34" spans="3:155" ht="21.75" customHeight="1">
      <c r="C34" s="153">
        <v>107596.87147</v>
      </c>
      <c r="D34" s="223">
        <v>109222.30276999999</v>
      </c>
      <c r="F34" s="153">
        <v>38226.0026</v>
      </c>
      <c r="G34" s="153">
        <v>39213.833480000001</v>
      </c>
      <c r="I34" s="212">
        <v>5201.8999999999996</v>
      </c>
      <c r="J34" s="211">
        <v>5317.3203700000004</v>
      </c>
      <c r="L34" s="153">
        <v>3011.74</v>
      </c>
      <c r="M34" s="153">
        <v>3820.3234900000002</v>
      </c>
      <c r="O34" s="153">
        <v>32.24</v>
      </c>
      <c r="P34" s="153">
        <v>36.792310000000001</v>
      </c>
      <c r="R34" s="153">
        <v>5091.2667000000001</v>
      </c>
      <c r="S34" s="153">
        <v>5572.9574499999999</v>
      </c>
      <c r="U34" s="153">
        <v>0</v>
      </c>
      <c r="V34" s="153">
        <v>-855.96907999999996</v>
      </c>
      <c r="X34" s="153">
        <v>470</v>
      </c>
      <c r="Y34" s="209">
        <v>425.55243999999999</v>
      </c>
      <c r="AA34" s="153">
        <v>3021.4</v>
      </c>
      <c r="AB34" s="153">
        <v>3950.0036799999998</v>
      </c>
      <c r="AD34" s="153">
        <v>17949.2</v>
      </c>
      <c r="AE34" s="153">
        <v>17271.836920000002</v>
      </c>
      <c r="AG34" s="153">
        <v>162.00200000000001</v>
      </c>
      <c r="AH34" s="153">
        <v>149.37821</v>
      </c>
      <c r="AK34" s="153">
        <v>0</v>
      </c>
      <c r="AN34" s="209"/>
      <c r="AP34" s="153">
        <v>1571.3</v>
      </c>
      <c r="AQ34" s="153">
        <v>1497.2535</v>
      </c>
      <c r="AS34" s="153">
        <v>360</v>
      </c>
      <c r="AT34" s="153">
        <v>417.12723999999997</v>
      </c>
      <c r="AY34" s="153">
        <v>765</v>
      </c>
      <c r="AZ34" s="153">
        <v>1056.1355699999999</v>
      </c>
      <c r="BE34" s="153">
        <v>586</v>
      </c>
      <c r="BF34" s="153">
        <v>610.01599999999996</v>
      </c>
      <c r="BN34" s="153">
        <v>3.9539</v>
      </c>
      <c r="BO34" s="153">
        <v>48.393389999999997</v>
      </c>
      <c r="BR34" s="210">
        <v>-103.28801</v>
      </c>
      <c r="BZ34" s="153">
        <v>69370.868870000006</v>
      </c>
      <c r="CA34" s="153">
        <v>70008.469289999994</v>
      </c>
      <c r="CC34" s="153">
        <v>28718.624</v>
      </c>
      <c r="CD34" s="153">
        <v>28718.624</v>
      </c>
      <c r="CF34" s="153">
        <v>6269.9521000000004</v>
      </c>
      <c r="CG34" s="153">
        <v>6269.9521000000004</v>
      </c>
      <c r="CI34" s="210">
        <v>28037.654859999999</v>
      </c>
      <c r="CJ34" s="153">
        <v>27622.658149999999</v>
      </c>
      <c r="CL34" s="153">
        <v>2124.3000000000002</v>
      </c>
      <c r="CM34" s="153">
        <v>2124.3000000000002</v>
      </c>
      <c r="CO34" s="153">
        <v>1006.06691</v>
      </c>
      <c r="CP34" s="153">
        <v>960</v>
      </c>
      <c r="CR34" s="153">
        <v>3214.2710000000002</v>
      </c>
      <c r="CS34" s="153">
        <v>4801.5048299999999</v>
      </c>
      <c r="CU34" s="153">
        <v>0</v>
      </c>
      <c r="CV34" s="153">
        <v>-488.56979000000001</v>
      </c>
      <c r="DG34" s="212">
        <v>112858.98794000001</v>
      </c>
      <c r="DH34" s="212">
        <v>108278.22908</v>
      </c>
      <c r="DI34" s="212"/>
      <c r="DJ34" s="212">
        <v>23034.230220000001</v>
      </c>
      <c r="DK34" s="212">
        <v>22358.213759999999</v>
      </c>
      <c r="DL34" s="212"/>
      <c r="DM34" s="212">
        <v>22586.01872</v>
      </c>
      <c r="DN34" s="212">
        <v>22001.032299999999</v>
      </c>
      <c r="DO34" s="212"/>
      <c r="DP34" s="212">
        <v>168.8</v>
      </c>
      <c r="DQ34" s="212">
        <v>168.8</v>
      </c>
      <c r="DR34" s="212"/>
      <c r="DS34" s="212">
        <v>78.010000000000005</v>
      </c>
      <c r="DT34" s="212">
        <v>0</v>
      </c>
      <c r="DU34" s="212"/>
      <c r="DV34" s="212">
        <v>201.4015</v>
      </c>
      <c r="DW34" s="212">
        <v>188.38146</v>
      </c>
      <c r="DX34" s="212"/>
      <c r="DY34" s="212">
        <v>2049</v>
      </c>
      <c r="DZ34" s="212">
        <v>2049</v>
      </c>
      <c r="EA34" s="212"/>
      <c r="EB34" s="212">
        <v>377.04791</v>
      </c>
      <c r="EC34" s="212">
        <v>344.73154</v>
      </c>
      <c r="ED34" s="212"/>
      <c r="EE34" s="212">
        <v>35524.43995</v>
      </c>
      <c r="EF34" s="212">
        <v>33119.829539999999</v>
      </c>
      <c r="EG34" s="212"/>
      <c r="EH34" s="212">
        <v>19030.135760000001</v>
      </c>
      <c r="EI34" s="212">
        <v>18116.910820000001</v>
      </c>
      <c r="EJ34" s="212"/>
      <c r="EK34" s="212">
        <v>32642.129099999998</v>
      </c>
      <c r="EL34" s="212">
        <v>32101.003420000001</v>
      </c>
      <c r="EM34" s="212"/>
      <c r="EN34" s="212">
        <v>14</v>
      </c>
      <c r="EO34" s="212">
        <v>14</v>
      </c>
      <c r="EP34" s="212"/>
      <c r="EQ34" s="212">
        <v>188.005</v>
      </c>
      <c r="ER34" s="212">
        <v>174.54</v>
      </c>
      <c r="ES34" s="212"/>
      <c r="ET34" s="212">
        <v>0</v>
      </c>
      <c r="EU34" s="212">
        <v>0</v>
      </c>
      <c r="EV34" s="212"/>
      <c r="EW34" s="153">
        <v>-5262.1164699999999</v>
      </c>
      <c r="EX34" s="153">
        <v>944.07369000000006</v>
      </c>
    </row>
    <row r="35" spans="3:155" s="220" customFormat="1" ht="27.75" customHeight="1">
      <c r="C35" s="209">
        <f>C34-C31</f>
        <v>0</v>
      </c>
      <c r="D35" s="209">
        <f>D34-D31</f>
        <v>0</v>
      </c>
      <c r="E35" s="209"/>
      <c r="F35" s="209">
        <f t="shared" ref="F35:BO35" si="59">F34-F31</f>
        <v>0</v>
      </c>
      <c r="G35" s="209">
        <f>G34-G31</f>
        <v>0</v>
      </c>
      <c r="H35" s="209"/>
      <c r="I35" s="209">
        <f t="shared" si="59"/>
        <v>0</v>
      </c>
      <c r="J35" s="209">
        <f t="shared" si="59"/>
        <v>0</v>
      </c>
      <c r="K35" s="209"/>
      <c r="L35" s="209">
        <f t="shared" si="59"/>
        <v>0</v>
      </c>
      <c r="M35" s="209">
        <f t="shared" si="59"/>
        <v>0</v>
      </c>
      <c r="N35" s="209"/>
      <c r="O35" s="209">
        <f t="shared" si="59"/>
        <v>0</v>
      </c>
      <c r="P35" s="209">
        <f t="shared" si="59"/>
        <v>0</v>
      </c>
      <c r="Q35" s="209"/>
      <c r="R35" s="209">
        <f t="shared" si="59"/>
        <v>0</v>
      </c>
      <c r="S35" s="209">
        <f t="shared" si="59"/>
        <v>0</v>
      </c>
      <c r="T35" s="209"/>
      <c r="U35" s="209">
        <f t="shared" si="59"/>
        <v>0</v>
      </c>
      <c r="V35" s="209">
        <f t="shared" si="59"/>
        <v>0</v>
      </c>
      <c r="W35" s="209"/>
      <c r="X35" s="209">
        <f t="shared" si="59"/>
        <v>0</v>
      </c>
      <c r="Y35" s="209">
        <f t="shared" si="59"/>
        <v>0</v>
      </c>
      <c r="Z35" s="209"/>
      <c r="AA35" s="209">
        <f t="shared" si="59"/>
        <v>0</v>
      </c>
      <c r="AB35" s="209">
        <f t="shared" si="59"/>
        <v>0</v>
      </c>
      <c r="AC35" s="209"/>
      <c r="AD35" s="209">
        <f t="shared" si="59"/>
        <v>0</v>
      </c>
      <c r="AE35" s="209">
        <f t="shared" si="59"/>
        <v>0</v>
      </c>
      <c r="AF35" s="209"/>
      <c r="AG35" s="209">
        <f t="shared" si="59"/>
        <v>0</v>
      </c>
      <c r="AH35" s="209">
        <f t="shared" si="59"/>
        <v>0</v>
      </c>
      <c r="AI35" s="209"/>
      <c r="AJ35" s="209">
        <f t="shared" si="59"/>
        <v>0</v>
      </c>
      <c r="AK35" s="209">
        <f t="shared" si="59"/>
        <v>0</v>
      </c>
      <c r="AL35" s="209"/>
      <c r="AM35" s="209">
        <f t="shared" si="59"/>
        <v>0</v>
      </c>
      <c r="AN35" s="209">
        <f t="shared" si="59"/>
        <v>0</v>
      </c>
      <c r="AO35" s="209"/>
      <c r="AP35" s="209">
        <f t="shared" si="59"/>
        <v>0</v>
      </c>
      <c r="AQ35" s="209">
        <f t="shared" si="59"/>
        <v>0</v>
      </c>
      <c r="AR35" s="209"/>
      <c r="AS35" s="209">
        <f t="shared" si="59"/>
        <v>0</v>
      </c>
      <c r="AT35" s="209">
        <f t="shared" si="59"/>
        <v>0</v>
      </c>
      <c r="AU35" s="209"/>
      <c r="AV35" s="209">
        <f t="shared" si="59"/>
        <v>0</v>
      </c>
      <c r="AW35" s="209">
        <f t="shared" si="59"/>
        <v>0</v>
      </c>
      <c r="AX35" s="209" t="e">
        <f t="shared" si="59"/>
        <v>#DIV/0!</v>
      </c>
      <c r="AY35" s="209">
        <f t="shared" si="59"/>
        <v>0</v>
      </c>
      <c r="AZ35" s="209">
        <f t="shared" si="59"/>
        <v>0</v>
      </c>
      <c r="BA35" s="209"/>
      <c r="BB35" s="209">
        <f t="shared" si="59"/>
        <v>0</v>
      </c>
      <c r="BC35" s="209">
        <f t="shared" si="59"/>
        <v>0</v>
      </c>
      <c r="BD35" s="209" t="e">
        <f t="shared" si="59"/>
        <v>#DIV/0!</v>
      </c>
      <c r="BE35" s="209">
        <f>BE34-BE31</f>
        <v>0</v>
      </c>
      <c r="BF35" s="209">
        <f t="shared" si="59"/>
        <v>0</v>
      </c>
      <c r="BG35" s="209"/>
      <c r="BH35" s="209">
        <f t="shared" si="59"/>
        <v>0</v>
      </c>
      <c r="BI35" s="209">
        <f t="shared" si="59"/>
        <v>0</v>
      </c>
      <c r="BJ35" s="209" t="e">
        <f t="shared" si="59"/>
        <v>#DIV/0!</v>
      </c>
      <c r="BK35" s="209">
        <f t="shared" si="59"/>
        <v>0</v>
      </c>
      <c r="BL35" s="209">
        <f t="shared" si="59"/>
        <v>0</v>
      </c>
      <c r="BM35" s="209" t="e">
        <f t="shared" si="59"/>
        <v>#DIV/0!</v>
      </c>
      <c r="BN35" s="209">
        <f t="shared" si="59"/>
        <v>0</v>
      </c>
      <c r="BO35" s="209">
        <f t="shared" si="59"/>
        <v>0</v>
      </c>
      <c r="BP35" s="209"/>
      <c r="BQ35" s="209">
        <f t="shared" ref="BQ35:DZ35" si="60">BQ34-BQ31</f>
        <v>0</v>
      </c>
      <c r="BR35" s="209">
        <f t="shared" si="60"/>
        <v>0</v>
      </c>
      <c r="BS35" s="209"/>
      <c r="BT35" s="209">
        <f t="shared" si="60"/>
        <v>0</v>
      </c>
      <c r="BU35" s="209">
        <f t="shared" si="60"/>
        <v>0</v>
      </c>
      <c r="BV35" s="209" t="e">
        <f t="shared" si="60"/>
        <v>#DIV/0!</v>
      </c>
      <c r="BW35" s="209">
        <f t="shared" si="60"/>
        <v>0</v>
      </c>
      <c r="BX35" s="209">
        <f t="shared" si="60"/>
        <v>0</v>
      </c>
      <c r="BY35" s="209" t="e">
        <f t="shared" si="60"/>
        <v>#DIV/0!</v>
      </c>
      <c r="BZ35" s="209">
        <f t="shared" si="60"/>
        <v>0</v>
      </c>
      <c r="CA35" s="209">
        <f t="shared" si="60"/>
        <v>0</v>
      </c>
      <c r="CB35" s="209"/>
      <c r="CC35" s="209">
        <f>CC34-CC31</f>
        <v>0</v>
      </c>
      <c r="CD35" s="209">
        <f t="shared" si="60"/>
        <v>0</v>
      </c>
      <c r="CE35" s="209"/>
      <c r="CF35" s="209">
        <f t="shared" si="60"/>
        <v>0</v>
      </c>
      <c r="CG35" s="209">
        <f t="shared" si="60"/>
        <v>0</v>
      </c>
      <c r="CH35" s="209">
        <f t="shared" si="60"/>
        <v>-100</v>
      </c>
      <c r="CI35" s="209">
        <f t="shared" si="60"/>
        <v>0</v>
      </c>
      <c r="CJ35" s="209">
        <f t="shared" si="60"/>
        <v>0</v>
      </c>
      <c r="CK35" s="209"/>
      <c r="CL35" s="209">
        <f t="shared" si="60"/>
        <v>0</v>
      </c>
      <c r="CM35" s="209">
        <f t="shared" si="60"/>
        <v>0</v>
      </c>
      <c r="CN35" s="209"/>
      <c r="CO35" s="209">
        <f t="shared" si="60"/>
        <v>0</v>
      </c>
      <c r="CP35" s="209">
        <f t="shared" si="60"/>
        <v>0</v>
      </c>
      <c r="CQ35" s="209"/>
      <c r="CR35" s="209">
        <f t="shared" si="60"/>
        <v>0</v>
      </c>
      <c r="CS35" s="209">
        <f t="shared" si="60"/>
        <v>0</v>
      </c>
      <c r="CT35" s="209"/>
      <c r="CU35" s="209">
        <f t="shared" si="60"/>
        <v>0</v>
      </c>
      <c r="CV35" s="209">
        <f>-(CV34-CV31)</f>
        <v>0</v>
      </c>
      <c r="CW35" s="209"/>
      <c r="CX35" s="209">
        <f t="shared" si="60"/>
        <v>0</v>
      </c>
      <c r="CY35" s="209">
        <f t="shared" si="60"/>
        <v>0</v>
      </c>
      <c r="CZ35" s="209" t="e">
        <f t="shared" si="60"/>
        <v>#DIV/0!</v>
      </c>
      <c r="DA35" s="209">
        <f t="shared" si="60"/>
        <v>0</v>
      </c>
      <c r="DB35" s="209">
        <f t="shared" si="60"/>
        <v>0</v>
      </c>
      <c r="DC35" s="209" t="e">
        <f t="shared" si="60"/>
        <v>#DIV/0!</v>
      </c>
      <c r="DD35" s="209">
        <f t="shared" si="60"/>
        <v>0</v>
      </c>
      <c r="DE35" s="209">
        <f t="shared" si="60"/>
        <v>0</v>
      </c>
      <c r="DF35" s="209"/>
      <c r="DG35" s="209">
        <f t="shared" si="60"/>
        <v>0</v>
      </c>
      <c r="DH35" s="209">
        <f t="shared" si="60"/>
        <v>0</v>
      </c>
      <c r="DI35" s="209"/>
      <c r="DJ35" s="209">
        <f t="shared" si="60"/>
        <v>0</v>
      </c>
      <c r="DK35" s="209">
        <f t="shared" si="60"/>
        <v>0</v>
      </c>
      <c r="DL35" s="209"/>
      <c r="DM35" s="209">
        <f>DM34-DM31</f>
        <v>0</v>
      </c>
      <c r="DN35" s="209">
        <f>DN34-DN31</f>
        <v>0</v>
      </c>
      <c r="DO35" s="209"/>
      <c r="DP35" s="209">
        <f t="shared" si="60"/>
        <v>0</v>
      </c>
      <c r="DQ35" s="209">
        <f t="shared" si="60"/>
        <v>0</v>
      </c>
      <c r="DR35" s="209"/>
      <c r="DS35" s="209">
        <f t="shared" si="60"/>
        <v>0</v>
      </c>
      <c r="DT35" s="209">
        <f t="shared" si="60"/>
        <v>0</v>
      </c>
      <c r="DU35" s="209"/>
      <c r="DV35" s="209">
        <f t="shared" si="60"/>
        <v>0</v>
      </c>
      <c r="DW35" s="209">
        <f t="shared" si="60"/>
        <v>0</v>
      </c>
      <c r="DX35" s="209"/>
      <c r="DY35" s="209">
        <f t="shared" si="60"/>
        <v>0</v>
      </c>
      <c r="DZ35" s="209">
        <f t="shared" si="60"/>
        <v>0</v>
      </c>
      <c r="EA35" s="209"/>
      <c r="EB35" s="209">
        <f>EB34-EB31</f>
        <v>0</v>
      </c>
      <c r="EC35" s="209">
        <f>EC34-EC31</f>
        <v>0</v>
      </c>
      <c r="ED35" s="209"/>
      <c r="EE35" s="209">
        <f>EE34-EE31</f>
        <v>0</v>
      </c>
      <c r="EF35" s="209">
        <f>EF34-EF31</f>
        <v>0</v>
      </c>
      <c r="EG35" s="209"/>
      <c r="EH35" s="209">
        <f>EH34-EH31</f>
        <v>0</v>
      </c>
      <c r="EI35" s="209">
        <f>EI34-EI31</f>
        <v>0</v>
      </c>
      <c r="EJ35" s="209"/>
      <c r="EK35" s="209">
        <f t="shared" ref="EK35:EX35" si="61">EK34-EK31</f>
        <v>0</v>
      </c>
      <c r="EL35" s="209">
        <f t="shared" si="61"/>
        <v>0</v>
      </c>
      <c r="EM35" s="209"/>
      <c r="EN35" s="209">
        <f t="shared" si="61"/>
        <v>0</v>
      </c>
      <c r="EO35" s="209">
        <f t="shared" si="61"/>
        <v>0</v>
      </c>
      <c r="EP35" s="209"/>
      <c r="EQ35" s="209">
        <f>EQ34-EQ31</f>
        <v>0</v>
      </c>
      <c r="ER35" s="209">
        <f t="shared" si="61"/>
        <v>0</v>
      </c>
      <c r="ES35" s="209"/>
      <c r="ET35" s="209">
        <f t="shared" si="61"/>
        <v>0</v>
      </c>
      <c r="EU35" s="209">
        <f t="shared" si="61"/>
        <v>0</v>
      </c>
      <c r="EV35" s="209"/>
      <c r="EW35" s="209">
        <f t="shared" si="61"/>
        <v>0</v>
      </c>
      <c r="EX35" s="209">
        <f t="shared" si="61"/>
        <v>-2.3874235921539366E-12</v>
      </c>
    </row>
    <row r="36" spans="3:155"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09"/>
      <c r="BR36" s="209"/>
      <c r="BS36" s="209"/>
      <c r="BT36" s="209"/>
      <c r="BU36" s="209"/>
      <c r="BV36" s="209"/>
      <c r="BW36" s="209"/>
      <c r="BX36" s="209"/>
      <c r="BY36" s="209"/>
      <c r="BZ36" s="209"/>
      <c r="CA36" s="209"/>
      <c r="CB36" s="209"/>
      <c r="CC36" s="209"/>
      <c r="CD36" s="209"/>
      <c r="CE36" s="209"/>
      <c r="CF36" s="209"/>
      <c r="CG36" s="209"/>
      <c r="CH36" s="209"/>
      <c r="CI36" s="209"/>
      <c r="CJ36" s="209"/>
      <c r="CK36" s="209"/>
      <c r="CL36" s="209"/>
      <c r="CM36" s="209"/>
      <c r="CN36" s="209"/>
      <c r="CO36" s="209"/>
      <c r="CP36" s="209"/>
      <c r="CQ36" s="209"/>
      <c r="CR36" s="209"/>
      <c r="CS36" s="209"/>
      <c r="CT36" s="209"/>
      <c r="CU36" s="209"/>
      <c r="CV36" s="209"/>
      <c r="CW36" s="209"/>
      <c r="CX36" s="209"/>
      <c r="CY36" s="209"/>
      <c r="CZ36" s="209"/>
      <c r="DA36" s="209"/>
      <c r="DB36" s="209"/>
      <c r="DC36" s="209"/>
      <c r="DD36" s="209"/>
      <c r="DE36" s="209"/>
      <c r="DF36" s="209"/>
      <c r="DG36" s="209"/>
      <c r="DH36" s="209"/>
      <c r="DI36" s="209"/>
      <c r="DJ36" s="209"/>
      <c r="DK36" s="209"/>
      <c r="DL36" s="209"/>
      <c r="DM36" s="209"/>
      <c r="DN36" s="209"/>
      <c r="DO36" s="209"/>
      <c r="DP36" s="209"/>
      <c r="DQ36" s="209"/>
      <c r="DR36" s="209"/>
      <c r="DS36" s="209"/>
      <c r="DT36" s="209"/>
      <c r="DU36" s="209"/>
      <c r="DV36" s="209"/>
      <c r="DW36" s="209"/>
      <c r="DX36" s="209"/>
      <c r="DY36" s="209"/>
      <c r="DZ36" s="209"/>
      <c r="EA36" s="209"/>
      <c r="EB36" s="209"/>
      <c r="EC36" s="209"/>
      <c r="ED36" s="209"/>
      <c r="EE36" s="209"/>
      <c r="EF36" s="209"/>
      <c r="EG36" s="209"/>
      <c r="EH36" s="209"/>
      <c r="EI36" s="209"/>
      <c r="EJ36" s="209"/>
      <c r="EK36" s="209"/>
      <c r="EL36" s="209"/>
      <c r="EM36" s="209"/>
      <c r="EN36" s="209"/>
      <c r="EO36" s="209"/>
      <c r="EP36" s="209"/>
      <c r="EQ36" s="209"/>
      <c r="ER36" s="209"/>
      <c r="ES36" s="209"/>
      <c r="ET36" s="209"/>
      <c r="EU36" s="209"/>
      <c r="EV36" s="209"/>
      <c r="EW36" s="209"/>
      <c r="EX36" s="209"/>
      <c r="EY36" s="221"/>
    </row>
  </sheetData>
  <customSheetViews>
    <customSheetView guid="{487FB2A4-0730-401E-81DB-8304F8599D85}" scale="75" showPageBreaks="1" printArea="1" hiddenRows="1" hiddenColumns="1" view="pageBreakPreview" topLeftCell="A10">
      <pane xSplit="2" ySplit="4" topLeftCell="C14" activePane="bottomRight" state="frozen"/>
      <selection pane="bottomRight" activeCell="C28" sqref="C2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1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2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B30CE22D-C12F-4E12-8BB9-3AAE0A6991CC}" scale="75" showPageBreaks="1" printArea="1" hiddenRows="1" hiddenColumns="1" view="pageBreakPreview" topLeftCell="A10">
      <pane xSplit="2" ySplit="4" topLeftCell="C14" activePane="bottomRight" state="frozen"/>
      <selection pane="bottomRight" activeCell="I6" sqref="I6:X6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5BFCA170-DEAE-4D2C-98A0-1E68B427AC01}" scale="75" showPageBreaks="1" printArea="1" hiddenRows="1" hiddenColumns="1" view="pageBreakPreview" topLeftCell="A10">
      <pane xSplit="2" ySplit="4" topLeftCell="C14" activePane="bottomRight" state="frozen"/>
      <selection pane="bottomRight" activeCell="C28" sqref="C2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7"/>
    </customSheetView>
  </customSheetViews>
  <mergeCells count="69">
    <mergeCell ref="CO9:CQ11"/>
    <mergeCell ref="CU9:CW11"/>
    <mergeCell ref="DD9:DF11"/>
    <mergeCell ref="EB9:ED11"/>
    <mergeCell ref="DM11:DO11"/>
    <mergeCell ref="DV11:DX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5" fitToWidth="0" fitToHeight="0" orientation="landscape" r:id="rId8"/>
  <colBreaks count="6" manualBreakCount="6">
    <brk id="17" max="30" man="1"/>
    <brk id="35" max="30" man="1"/>
    <brk id="59" max="30" man="1"/>
    <brk id="92" max="30" man="1"/>
    <brk id="116" max="30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364</v>
      </c>
      <c r="AO1" t="s">
        <v>365</v>
      </c>
      <c r="AP1" t="s">
        <v>366</v>
      </c>
      <c r="AS1" t="s">
        <v>367</v>
      </c>
      <c r="AW1">
        <v>187.4</v>
      </c>
      <c r="AX1" t="s">
        <v>368</v>
      </c>
      <c r="AY1" t="s">
        <v>369</v>
      </c>
    </row>
    <row r="2" spans="32:51">
      <c r="AF2" t="s">
        <v>370</v>
      </c>
      <c r="AJ2" t="s">
        <v>371</v>
      </c>
    </row>
    <row r="3" spans="32:51">
      <c r="AF3" t="s">
        <v>373</v>
      </c>
      <c r="AH3" t="s">
        <v>372</v>
      </c>
      <c r="AJ3" t="s">
        <v>373</v>
      </c>
      <c r="AN3" t="s">
        <v>372</v>
      </c>
      <c r="AO3" t="s">
        <v>372</v>
      </c>
      <c r="AP3" t="s">
        <v>372</v>
      </c>
      <c r="AS3" t="s">
        <v>374</v>
      </c>
      <c r="AT3" t="s">
        <v>375</v>
      </c>
      <c r="AU3" t="s">
        <v>376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377</v>
      </c>
      <c r="AU4" t="s">
        <v>378</v>
      </c>
      <c r="AV4" t="s">
        <v>379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380</v>
      </c>
      <c r="AU5" t="s">
        <v>378</v>
      </c>
      <c r="AV5" t="s">
        <v>381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382</v>
      </c>
      <c r="AU6" t="s">
        <v>378</v>
      </c>
      <c r="AV6" t="s">
        <v>381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383</v>
      </c>
      <c r="AU7" t="s">
        <v>378</v>
      </c>
      <c r="AV7" t="s">
        <v>384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385</v>
      </c>
      <c r="AU8" t="s">
        <v>378</v>
      </c>
      <c r="AV8" t="s">
        <v>386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387</v>
      </c>
      <c r="AU9" t="s">
        <v>378</v>
      </c>
      <c r="AV9" t="s">
        <v>388</v>
      </c>
      <c r="AW9" t="s">
        <v>389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390</v>
      </c>
      <c r="AU10" t="s">
        <v>378</v>
      </c>
      <c r="AV10" t="s">
        <v>391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392</v>
      </c>
      <c r="AU11" t="s">
        <v>378</v>
      </c>
      <c r="AV11" t="s">
        <v>393</v>
      </c>
      <c r="AW11" t="s">
        <v>389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394</v>
      </c>
      <c r="AU12" t="s">
        <v>378</v>
      </c>
      <c r="AV12" t="s">
        <v>395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396</v>
      </c>
      <c r="AU13" t="s">
        <v>378</v>
      </c>
      <c r="AV13" t="s">
        <v>397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398</v>
      </c>
      <c r="AU14" t="s">
        <v>378</v>
      </c>
      <c r="AV14" t="s">
        <v>384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399</v>
      </c>
      <c r="AU15" t="s">
        <v>378</v>
      </c>
      <c r="AV15" t="s">
        <v>400</v>
      </c>
      <c r="AW15" t="s">
        <v>401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402</v>
      </c>
      <c r="AU16" t="s">
        <v>378</v>
      </c>
      <c r="AV16" t="s">
        <v>381</v>
      </c>
      <c r="AW16" t="s">
        <v>403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404</v>
      </c>
      <c r="AU17" t="s">
        <v>378</v>
      </c>
      <c r="AV17" t="s">
        <v>405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406</v>
      </c>
      <c r="AU18" t="s">
        <v>378</v>
      </c>
      <c r="AV18" t="s">
        <v>381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407</v>
      </c>
      <c r="AU19" t="s">
        <v>408</v>
      </c>
      <c r="AV19" t="s">
        <v>391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409</v>
      </c>
      <c r="AY20" t="s">
        <v>410</v>
      </c>
    </row>
    <row r="82" hidden="1"/>
    <row r="83" hidden="1"/>
    <row r="84" hidden="1"/>
  </sheetData>
  <customSheetViews>
    <customSheetView guid="{487FB2A4-0730-401E-81DB-8304F8599D85}" hiddenRows="1" state="hidden">
      <selection activeCell="B100" sqref="B100"/>
      <pageMargins left="0.7" right="0.7" top="0.75" bottom="0.75" header="0.3" footer="0.3"/>
      <pageSetup paperSize="9" orientation="portrait" r:id="rId1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2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B30CE22D-C12F-4E12-8BB9-3AAE0A6991CC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orientation="portrait" r:id="rId6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487FB2A4-0730-401E-81DB-8304F8599D85}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B30CE22D-C12F-4E12-8BB9-3AAE0A6991CC}" state="hidden" topLeftCell="A16">
      <pageMargins left="0.7" right="0.7" top="0.75" bottom="0.75" header="0.3" footer="0.3"/>
    </customSheetView>
    <customSheetView guid="{5BFCA170-DEAE-4D2C-98A0-1E68B427AC01}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6"/>
  <sheetViews>
    <sheetView view="pageBreakPreview" zoomScale="67" workbookViewId="0">
      <selection activeCell="E137" sqref="E137"/>
    </sheetView>
  </sheetViews>
  <sheetFormatPr defaultRowHeight="15.75"/>
  <cols>
    <col min="1" max="1" width="16.28515625" style="58" customWidth="1"/>
    <col min="2" max="2" width="57.5703125" style="59" customWidth="1"/>
    <col min="3" max="3" width="33.85546875" style="62" customWidth="1"/>
    <col min="4" max="4" width="28.285156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>
      <c r="A1" s="516" t="s">
        <v>0</v>
      </c>
      <c r="B1" s="516"/>
      <c r="C1" s="516"/>
      <c r="D1" s="516"/>
      <c r="E1" s="516"/>
      <c r="F1" s="516"/>
    </row>
    <row r="2" spans="1:6">
      <c r="A2" s="516" t="s">
        <v>414</v>
      </c>
      <c r="B2" s="516"/>
      <c r="C2" s="516"/>
      <c r="D2" s="516"/>
      <c r="E2" s="516"/>
      <c r="F2" s="516"/>
    </row>
    <row r="3" spans="1:6" ht="63">
      <c r="A3" s="2" t="s">
        <v>1</v>
      </c>
      <c r="B3" s="2" t="s">
        <v>2</v>
      </c>
      <c r="C3" s="72" t="s">
        <v>346</v>
      </c>
      <c r="D3" s="103" t="s">
        <v>415</v>
      </c>
      <c r="E3" s="72" t="s">
        <v>3</v>
      </c>
      <c r="F3" s="74" t="s">
        <v>4</v>
      </c>
    </row>
    <row r="4" spans="1:6" s="6" customFormat="1" ht="22.5">
      <c r="A4" s="3"/>
      <c r="B4" s="255" t="s">
        <v>5</v>
      </c>
      <c r="C4" s="294">
        <f>C5+C12+C16+C21+C23+C27+C7</f>
        <v>128504</v>
      </c>
      <c r="D4" s="294">
        <f>D5+D12+D16+D21+D23+D27+D7</f>
        <v>131192.81122999999</v>
      </c>
      <c r="E4" s="294">
        <f>SUM(D4/C4*100)</f>
        <v>102.09239496825001</v>
      </c>
      <c r="F4" s="294">
        <f>SUM(D4-C4)</f>
        <v>2688.8112299999921</v>
      </c>
    </row>
    <row r="5" spans="1:6" s="6" customFormat="1" ht="22.5">
      <c r="A5" s="68">
        <v>1010000000</v>
      </c>
      <c r="B5" s="255" t="s">
        <v>6</v>
      </c>
      <c r="C5" s="294">
        <f>C6</f>
        <v>107520</v>
      </c>
      <c r="D5" s="294">
        <f>D6</f>
        <v>109147.82305000001</v>
      </c>
      <c r="E5" s="294">
        <f t="shared" ref="E5:E82" si="0">SUM(D5/C5*100)</f>
        <v>101.51397233072916</v>
      </c>
      <c r="F5" s="294">
        <f t="shared" ref="F5:F82" si="1">SUM(D5-C5)</f>
        <v>1627.8230500000063</v>
      </c>
    </row>
    <row r="6" spans="1:6" ht="23.25">
      <c r="A6" s="7">
        <v>1010200001</v>
      </c>
      <c r="B6" s="256" t="s">
        <v>229</v>
      </c>
      <c r="C6" s="295">
        <v>107520</v>
      </c>
      <c r="D6" s="362">
        <v>109147.82305000001</v>
      </c>
      <c r="E6" s="295">
        <f t="shared" ref="E6:E11" si="2">SUM(D6/C6*100)</f>
        <v>101.51397233072916</v>
      </c>
      <c r="F6" s="295">
        <f t="shared" si="1"/>
        <v>1627.8230500000063</v>
      </c>
    </row>
    <row r="7" spans="1:6" ht="37.5">
      <c r="A7" s="68">
        <v>1030000000</v>
      </c>
      <c r="B7" s="257" t="s">
        <v>281</v>
      </c>
      <c r="C7" s="294">
        <f>C8+C10+C9</f>
        <v>4417.8600000000006</v>
      </c>
      <c r="D7" s="294">
        <f>D8+D10+D9+D11</f>
        <v>4648.2821500000009</v>
      </c>
      <c r="E7" s="295">
        <f t="shared" si="2"/>
        <v>105.21569606098882</v>
      </c>
      <c r="F7" s="295">
        <f t="shared" si="1"/>
        <v>230.42215000000033</v>
      </c>
    </row>
    <row r="8" spans="1:6" ht="23.25">
      <c r="A8" s="7">
        <v>1030223001</v>
      </c>
      <c r="B8" s="256" t="s">
        <v>283</v>
      </c>
      <c r="C8" s="295">
        <v>1460.394</v>
      </c>
      <c r="D8" s="362">
        <v>2071.1133199999999</v>
      </c>
      <c r="E8" s="295">
        <f t="shared" si="2"/>
        <v>141.81880506219554</v>
      </c>
      <c r="F8" s="295">
        <f>SUM(D8-C8)</f>
        <v>610.71931999999993</v>
      </c>
    </row>
    <row r="9" spans="1:6" ht="23.25">
      <c r="A9" s="7">
        <v>1030224001</v>
      </c>
      <c r="B9" s="256" t="s">
        <v>289</v>
      </c>
      <c r="C9" s="295">
        <v>25.545999999999999</v>
      </c>
      <c r="D9" s="362">
        <v>19.946200000000001</v>
      </c>
      <c r="E9" s="295">
        <f t="shared" si="2"/>
        <v>78.079542785563305</v>
      </c>
      <c r="F9" s="295">
        <f>SUM(D9-C9)</f>
        <v>-5.5997999999999983</v>
      </c>
    </row>
    <row r="10" spans="1:6" ht="23.25">
      <c r="A10" s="7">
        <v>1030225001</v>
      </c>
      <c r="B10" s="256" t="s">
        <v>282</v>
      </c>
      <c r="C10" s="295">
        <v>2931.92</v>
      </c>
      <c r="D10" s="362">
        <v>3021.2695199999998</v>
      </c>
      <c r="E10" s="295">
        <f t="shared" si="2"/>
        <v>103.04747469235176</v>
      </c>
      <c r="F10" s="295">
        <f t="shared" si="1"/>
        <v>89.349519999999757</v>
      </c>
    </row>
    <row r="11" spans="1:6" ht="23.25">
      <c r="A11" s="7">
        <v>1030226001</v>
      </c>
      <c r="B11" s="256" t="s">
        <v>291</v>
      </c>
      <c r="C11" s="295">
        <v>0</v>
      </c>
      <c r="D11" s="362">
        <v>-464.04689000000002</v>
      </c>
      <c r="E11" s="295" t="e">
        <f t="shared" si="2"/>
        <v>#DIV/0!</v>
      </c>
      <c r="F11" s="295">
        <f t="shared" si="1"/>
        <v>-464.04689000000002</v>
      </c>
    </row>
    <row r="12" spans="1:6" s="6" customFormat="1" ht="22.5">
      <c r="A12" s="68">
        <v>1050000000</v>
      </c>
      <c r="B12" s="255" t="s">
        <v>7</v>
      </c>
      <c r="C12" s="294">
        <f>SUM(C13:C15)</f>
        <v>11622</v>
      </c>
      <c r="D12" s="294">
        <f>SUM(D13:D15)</f>
        <v>11562.1206</v>
      </c>
      <c r="E12" s="294">
        <f t="shared" si="0"/>
        <v>99.484775425916368</v>
      </c>
      <c r="F12" s="294">
        <f t="shared" si="1"/>
        <v>-59.879399999999805</v>
      </c>
    </row>
    <row r="13" spans="1:6" ht="23.25">
      <c r="A13" s="7">
        <v>1050200000</v>
      </c>
      <c r="B13" s="258" t="s">
        <v>239</v>
      </c>
      <c r="C13" s="363">
        <v>10415</v>
      </c>
      <c r="D13" s="362">
        <v>10399.78297</v>
      </c>
      <c r="E13" s="295">
        <f t="shared" si="0"/>
        <v>99.853893134901583</v>
      </c>
      <c r="F13" s="295">
        <f t="shared" si="1"/>
        <v>-15.217029999999795</v>
      </c>
    </row>
    <row r="14" spans="1:6" ht="23.25" customHeight="1">
      <c r="A14" s="7">
        <v>1050300000</v>
      </c>
      <c r="B14" s="258" t="s">
        <v>230</v>
      </c>
      <c r="C14" s="363">
        <v>1007</v>
      </c>
      <c r="D14" s="362">
        <v>992.95482000000004</v>
      </c>
      <c r="E14" s="295">
        <f t="shared" si="0"/>
        <v>98.605245283018874</v>
      </c>
      <c r="F14" s="295">
        <f t="shared" si="1"/>
        <v>-14.045179999999959</v>
      </c>
    </row>
    <row r="15" spans="1:6" ht="37.5">
      <c r="A15" s="7">
        <v>1050400002</v>
      </c>
      <c r="B15" s="256" t="s">
        <v>266</v>
      </c>
      <c r="C15" s="363">
        <v>200</v>
      </c>
      <c r="D15" s="362">
        <v>169.38281000000001</v>
      </c>
      <c r="E15" s="295">
        <f t="shared" si="0"/>
        <v>84.691405000000003</v>
      </c>
      <c r="F15" s="295">
        <f t="shared" si="1"/>
        <v>-30.617189999999994</v>
      </c>
    </row>
    <row r="16" spans="1:6" s="6" customFormat="1" ht="24" customHeight="1">
      <c r="A16" s="68">
        <v>1060000000</v>
      </c>
      <c r="B16" s="255" t="s">
        <v>136</v>
      </c>
      <c r="C16" s="294">
        <f>SUM(C17:C20)</f>
        <v>1815</v>
      </c>
      <c r="D16" s="294">
        <f>SUM(D17:D20)</f>
        <v>2071.8990600000002</v>
      </c>
      <c r="E16" s="294">
        <f t="shared" si="0"/>
        <v>114.15421818181819</v>
      </c>
      <c r="F16" s="294">
        <f t="shared" si="1"/>
        <v>256.89906000000019</v>
      </c>
    </row>
    <row r="17" spans="1:6" s="6" customFormat="1" ht="18" hidden="1" customHeight="1">
      <c r="A17" s="7">
        <v>1060100000</v>
      </c>
      <c r="B17" s="258" t="s">
        <v>9</v>
      </c>
      <c r="C17" s="295"/>
      <c r="D17" s="362"/>
      <c r="E17" s="294" t="e">
        <f t="shared" si="0"/>
        <v>#DIV/0!</v>
      </c>
      <c r="F17" s="294">
        <f t="shared" si="1"/>
        <v>0</v>
      </c>
    </row>
    <row r="18" spans="1:6" s="6" customFormat="1" ht="17.25" hidden="1" customHeight="1">
      <c r="A18" s="7">
        <v>1060200000</v>
      </c>
      <c r="B18" s="258" t="s">
        <v>123</v>
      </c>
      <c r="C18" s="295"/>
      <c r="D18" s="362"/>
      <c r="E18" s="294" t="e">
        <f t="shared" si="0"/>
        <v>#DIV/0!</v>
      </c>
      <c r="F18" s="294">
        <f t="shared" si="1"/>
        <v>0</v>
      </c>
    </row>
    <row r="19" spans="1:6" s="6" customFormat="1" ht="21.75" customHeight="1">
      <c r="A19" s="7">
        <v>1060400000</v>
      </c>
      <c r="B19" s="258" t="s">
        <v>280</v>
      </c>
      <c r="C19" s="295">
        <v>1815</v>
      </c>
      <c r="D19" s="362">
        <v>2071.8990600000002</v>
      </c>
      <c r="E19" s="295">
        <f t="shared" si="0"/>
        <v>114.15421818181819</v>
      </c>
      <c r="F19" s="295">
        <f t="shared" si="1"/>
        <v>256.89906000000019</v>
      </c>
    </row>
    <row r="20" spans="1:6" ht="15.75" hidden="1" customHeight="1">
      <c r="A20" s="7">
        <v>1060600000</v>
      </c>
      <c r="B20" s="258" t="s">
        <v>8</v>
      </c>
      <c r="C20" s="295"/>
      <c r="D20" s="362"/>
      <c r="E20" s="295" t="e">
        <f t="shared" si="0"/>
        <v>#DIV/0!</v>
      </c>
      <c r="F20" s="295">
        <f t="shared" si="1"/>
        <v>0</v>
      </c>
    </row>
    <row r="21" spans="1:6" s="6" customFormat="1" ht="42" customHeight="1">
      <c r="A21" s="68">
        <v>1070000000</v>
      </c>
      <c r="B21" s="257" t="s">
        <v>10</v>
      </c>
      <c r="C21" s="294">
        <f>SUM(C22)</f>
        <v>379.14</v>
      </c>
      <c r="D21" s="294">
        <f>SUM(D22)</f>
        <v>823.22303999999997</v>
      </c>
      <c r="E21" s="294">
        <f t="shared" si="0"/>
        <v>217.12903940496915</v>
      </c>
      <c r="F21" s="294">
        <f t="shared" si="1"/>
        <v>444.08303999999998</v>
      </c>
    </row>
    <row r="22" spans="1:6" ht="41.25" customHeight="1">
      <c r="A22" s="7">
        <v>1070102001</v>
      </c>
      <c r="B22" s="256" t="s">
        <v>240</v>
      </c>
      <c r="C22" s="295">
        <v>379.14</v>
      </c>
      <c r="D22" s="362">
        <v>823.22303999999997</v>
      </c>
      <c r="E22" s="295">
        <f t="shared" si="0"/>
        <v>217.12903940496915</v>
      </c>
      <c r="F22" s="295">
        <f t="shared" si="1"/>
        <v>444.08303999999998</v>
      </c>
    </row>
    <row r="23" spans="1:6" s="6" customFormat="1" ht="22.5">
      <c r="A23" s="3">
        <v>1080000000</v>
      </c>
      <c r="B23" s="255" t="s">
        <v>11</v>
      </c>
      <c r="C23" s="294">
        <f>C24+C25+C26</f>
        <v>2750</v>
      </c>
      <c r="D23" s="294">
        <f>D24+D25+D26</f>
        <v>2939.46333</v>
      </c>
      <c r="E23" s="294">
        <f t="shared" si="0"/>
        <v>106.88957563636363</v>
      </c>
      <c r="F23" s="294">
        <f t="shared" si="1"/>
        <v>189.46333000000004</v>
      </c>
    </row>
    <row r="24" spans="1:6" ht="36.75" customHeight="1">
      <c r="A24" s="7">
        <v>1080300001</v>
      </c>
      <c r="B24" s="256" t="s">
        <v>241</v>
      </c>
      <c r="C24" s="295">
        <v>2080</v>
      </c>
      <c r="D24" s="362">
        <v>2144.4391599999999</v>
      </c>
      <c r="E24" s="295">
        <f t="shared" si="0"/>
        <v>103.09803653846153</v>
      </c>
      <c r="F24" s="295">
        <f t="shared" si="1"/>
        <v>64.439159999999902</v>
      </c>
    </row>
    <row r="25" spans="1:6" ht="33.75" customHeight="1">
      <c r="A25" s="7">
        <v>1080600001</v>
      </c>
      <c r="B25" s="256" t="s">
        <v>228</v>
      </c>
      <c r="C25" s="295">
        <v>0.4</v>
      </c>
      <c r="D25" s="362">
        <v>0.375</v>
      </c>
      <c r="E25" s="295">
        <f>SUM(D25/C25*100)</f>
        <v>93.75</v>
      </c>
      <c r="F25" s="295">
        <f t="shared" si="1"/>
        <v>-2.5000000000000022E-2</v>
      </c>
    </row>
    <row r="26" spans="1:6" ht="69.75" customHeight="1">
      <c r="A26" s="7">
        <v>1080714001</v>
      </c>
      <c r="B26" s="256" t="s">
        <v>227</v>
      </c>
      <c r="C26" s="295">
        <v>669.6</v>
      </c>
      <c r="D26" s="362">
        <v>794.64917000000003</v>
      </c>
      <c r="E26" s="295">
        <f t="shared" si="0"/>
        <v>118.67520459976105</v>
      </c>
      <c r="F26" s="295">
        <f t="shared" si="1"/>
        <v>125.04917</v>
      </c>
    </row>
    <row r="27" spans="1:6" s="15" customFormat="1" ht="0.75" customHeight="1">
      <c r="A27" s="68">
        <v>1090000000</v>
      </c>
      <c r="B27" s="257" t="s">
        <v>231</v>
      </c>
      <c r="C27" s="294">
        <f>C28+C29+C30+C31</f>
        <v>0</v>
      </c>
      <c r="D27" s="294">
        <f>D28+D29+D30+D31</f>
        <v>0</v>
      </c>
      <c r="E27" s="295" t="e">
        <f t="shared" si="0"/>
        <v>#DIV/0!</v>
      </c>
      <c r="F27" s="294">
        <f t="shared" si="1"/>
        <v>0</v>
      </c>
    </row>
    <row r="28" spans="1:6" s="15" customFormat="1" ht="17.25" hidden="1" customHeight="1">
      <c r="A28" s="7">
        <v>1090100000</v>
      </c>
      <c r="B28" s="256" t="s">
        <v>125</v>
      </c>
      <c r="C28" s="295">
        <v>0</v>
      </c>
      <c r="D28" s="362">
        <v>0</v>
      </c>
      <c r="E28" s="295" t="e">
        <f t="shared" si="0"/>
        <v>#DIV/0!</v>
      </c>
      <c r="F28" s="295">
        <f t="shared" si="1"/>
        <v>0</v>
      </c>
    </row>
    <row r="29" spans="1:6" s="15" customFormat="1" ht="17.25" hidden="1" customHeight="1">
      <c r="A29" s="7">
        <v>1090400000</v>
      </c>
      <c r="B29" s="256" t="s">
        <v>126</v>
      </c>
      <c r="C29" s="295">
        <v>0</v>
      </c>
      <c r="D29" s="362">
        <v>0</v>
      </c>
      <c r="E29" s="295" t="e">
        <f t="shared" si="0"/>
        <v>#DIV/0!</v>
      </c>
      <c r="F29" s="295">
        <f t="shared" si="1"/>
        <v>0</v>
      </c>
    </row>
    <row r="30" spans="1:6" s="15" customFormat="1" ht="15.75" hidden="1" customHeight="1">
      <c r="A30" s="7">
        <v>1090600000</v>
      </c>
      <c r="B30" s="256" t="s">
        <v>127</v>
      </c>
      <c r="C30" s="295">
        <v>0</v>
      </c>
      <c r="D30" s="362">
        <v>0</v>
      </c>
      <c r="E30" s="295" t="e">
        <f t="shared" si="0"/>
        <v>#DIV/0!</v>
      </c>
      <c r="F30" s="295">
        <f t="shared" si="1"/>
        <v>0</v>
      </c>
    </row>
    <row r="31" spans="1:6" s="15" customFormat="1" ht="42" customHeight="1">
      <c r="A31" s="7">
        <v>1090700000</v>
      </c>
      <c r="B31" s="256" t="s">
        <v>128</v>
      </c>
      <c r="C31" s="295">
        <v>0</v>
      </c>
      <c r="D31" s="362">
        <v>0</v>
      </c>
      <c r="E31" s="295" t="e">
        <f t="shared" si="0"/>
        <v>#DIV/0!</v>
      </c>
      <c r="F31" s="295">
        <f t="shared" si="1"/>
        <v>0</v>
      </c>
    </row>
    <row r="32" spans="1:6" s="6" customFormat="1" ht="33.75" customHeight="1">
      <c r="A32" s="3"/>
      <c r="B32" s="255" t="s">
        <v>13</v>
      </c>
      <c r="C32" s="294">
        <f>C33+C42+C44+C47+C50+C52+C69</f>
        <v>24185.276999999998</v>
      </c>
      <c r="D32" s="294">
        <f>D33+D42+D44+D47+D50+D52+D69</f>
        <v>25800.806489999999</v>
      </c>
      <c r="E32" s="294">
        <f t="shared" si="0"/>
        <v>106.67980561066139</v>
      </c>
      <c r="F32" s="294">
        <f t="shared" si="1"/>
        <v>1615.5294900000008</v>
      </c>
    </row>
    <row r="33" spans="1:6" s="6" customFormat="1" ht="60.75" customHeight="1">
      <c r="A33" s="3">
        <v>1110000000</v>
      </c>
      <c r="B33" s="257" t="s">
        <v>129</v>
      </c>
      <c r="C33" s="294">
        <f>SUM(C34:C41)</f>
        <v>10301.299999999999</v>
      </c>
      <c r="D33" s="294">
        <f>D35+D36+D37+D39+D38+D34+D41+D40</f>
        <v>10579.492999999999</v>
      </c>
      <c r="E33" s="294">
        <f t="shared" si="0"/>
        <v>102.70056206498208</v>
      </c>
      <c r="F33" s="294">
        <f t="shared" si="1"/>
        <v>278.1929999999993</v>
      </c>
    </row>
    <row r="34" spans="1:6" s="6" customFormat="1" ht="34.5" customHeight="1">
      <c r="A34" s="7">
        <v>1110105005</v>
      </c>
      <c r="B34" s="256" t="s">
        <v>320</v>
      </c>
      <c r="C34" s="295">
        <v>17</v>
      </c>
      <c r="D34" s="295">
        <v>16.89</v>
      </c>
      <c r="E34" s="295">
        <f t="shared" si="0"/>
        <v>99.352941176470594</v>
      </c>
      <c r="F34" s="295">
        <f t="shared" si="1"/>
        <v>-0.10999999999999943</v>
      </c>
    </row>
    <row r="35" spans="1:6" ht="27.75" customHeight="1">
      <c r="A35" s="7">
        <v>1110305005</v>
      </c>
      <c r="B35" s="258" t="s">
        <v>242</v>
      </c>
      <c r="C35" s="295">
        <v>0</v>
      </c>
      <c r="D35" s="362">
        <v>0</v>
      </c>
      <c r="E35" s="295" t="e">
        <f t="shared" si="0"/>
        <v>#DIV/0!</v>
      </c>
      <c r="F35" s="295">
        <f t="shared" si="1"/>
        <v>0</v>
      </c>
    </row>
    <row r="36" spans="1:6" ht="23.25">
      <c r="A36" s="16">
        <v>1110501101</v>
      </c>
      <c r="B36" s="259" t="s">
        <v>226</v>
      </c>
      <c r="C36" s="363">
        <v>9336.2999999999993</v>
      </c>
      <c r="D36" s="362">
        <v>9522.1062500000007</v>
      </c>
      <c r="E36" s="295">
        <f t="shared" si="0"/>
        <v>101.99014866703084</v>
      </c>
      <c r="F36" s="295">
        <f t="shared" si="1"/>
        <v>185.80625000000146</v>
      </c>
    </row>
    <row r="37" spans="1:6" ht="20.25" customHeight="1">
      <c r="A37" s="7">
        <v>1110503505</v>
      </c>
      <c r="B37" s="258" t="s">
        <v>225</v>
      </c>
      <c r="C37" s="363">
        <v>330</v>
      </c>
      <c r="D37" s="362">
        <v>346.74736999999999</v>
      </c>
      <c r="E37" s="295">
        <f t="shared" si="0"/>
        <v>105.07496060606061</v>
      </c>
      <c r="F37" s="295">
        <f t="shared" si="1"/>
        <v>16.747369999999989</v>
      </c>
    </row>
    <row r="38" spans="1:6" ht="131.25">
      <c r="A38" s="7">
        <v>1110502000</v>
      </c>
      <c r="B38" s="256" t="s">
        <v>277</v>
      </c>
      <c r="C38" s="364">
        <v>0</v>
      </c>
      <c r="D38" s="362">
        <v>0</v>
      </c>
      <c r="E38" s="295" t="e">
        <f t="shared" si="0"/>
        <v>#DIV/0!</v>
      </c>
      <c r="F38" s="295">
        <f t="shared" si="1"/>
        <v>0</v>
      </c>
    </row>
    <row r="39" spans="1:6" s="15" customFormat="1" ht="23.25">
      <c r="A39" s="7">
        <v>1110701505</v>
      </c>
      <c r="B39" s="258" t="s">
        <v>243</v>
      </c>
      <c r="C39" s="363">
        <v>17</v>
      </c>
      <c r="D39" s="362">
        <v>17.364999999999998</v>
      </c>
      <c r="E39" s="295">
        <f t="shared" si="0"/>
        <v>102.14705882352942</v>
      </c>
      <c r="F39" s="295">
        <f t="shared" si="1"/>
        <v>0.36499999999999844</v>
      </c>
    </row>
    <row r="40" spans="1:6" s="15" customFormat="1" ht="23.25">
      <c r="A40" s="7">
        <v>1110903000</v>
      </c>
      <c r="B40" s="258" t="s">
        <v>413</v>
      </c>
      <c r="C40" s="363">
        <v>7</v>
      </c>
      <c r="D40" s="362">
        <v>6.7770700000000001</v>
      </c>
      <c r="E40" s="295">
        <f>SUM(D40/C40*100)</f>
        <v>96.815285714285721</v>
      </c>
      <c r="F40" s="295">
        <f>SUM(D40-C40)</f>
        <v>-0.22292999999999985</v>
      </c>
    </row>
    <row r="41" spans="1:6" s="15" customFormat="1" ht="23.25">
      <c r="A41" s="7">
        <v>1110904505</v>
      </c>
      <c r="B41" s="258" t="s">
        <v>334</v>
      </c>
      <c r="C41" s="363">
        <v>594</v>
      </c>
      <c r="D41" s="362">
        <v>669.60730999999998</v>
      </c>
      <c r="E41" s="295">
        <f t="shared" si="0"/>
        <v>112.72850336700337</v>
      </c>
      <c r="F41" s="295">
        <f t="shared" si="1"/>
        <v>75.607309999999984</v>
      </c>
    </row>
    <row r="42" spans="1:6" s="15" customFormat="1" ht="37.5">
      <c r="A42" s="68">
        <v>1120000000</v>
      </c>
      <c r="B42" s="257" t="s">
        <v>130</v>
      </c>
      <c r="C42" s="365">
        <f>C43</f>
        <v>670</v>
      </c>
      <c r="D42" s="365">
        <f>D43</f>
        <v>711.78731000000005</v>
      </c>
      <c r="E42" s="294">
        <f t="shared" si="0"/>
        <v>106.23691194029851</v>
      </c>
      <c r="F42" s="294">
        <f t="shared" si="1"/>
        <v>41.787310000000048</v>
      </c>
    </row>
    <row r="43" spans="1:6" s="15" customFormat="1" ht="37.5">
      <c r="A43" s="7">
        <v>1120100001</v>
      </c>
      <c r="B43" s="256" t="s">
        <v>244</v>
      </c>
      <c r="C43" s="295">
        <v>670</v>
      </c>
      <c r="D43" s="362">
        <v>711.78731000000005</v>
      </c>
      <c r="E43" s="295">
        <f t="shared" si="0"/>
        <v>106.23691194029851</v>
      </c>
      <c r="F43" s="295">
        <f t="shared" si="1"/>
        <v>41.787310000000048</v>
      </c>
    </row>
    <row r="44" spans="1:6" s="254" customFormat="1" ht="21.75" customHeight="1">
      <c r="A44" s="322">
        <v>1130000000</v>
      </c>
      <c r="B44" s="260" t="s">
        <v>131</v>
      </c>
      <c r="C44" s="294">
        <f>C45+C46</f>
        <v>769</v>
      </c>
      <c r="D44" s="294">
        <f>D45+D46</f>
        <v>1116.63015</v>
      </c>
      <c r="E44" s="294">
        <f t="shared" si="0"/>
        <v>145.20548114434331</v>
      </c>
      <c r="F44" s="294">
        <f t="shared" si="1"/>
        <v>347.63014999999996</v>
      </c>
    </row>
    <row r="45" spans="1:6" s="15" customFormat="1" ht="36" customHeight="1">
      <c r="A45" s="7">
        <v>1130200000</v>
      </c>
      <c r="B45" s="256" t="s">
        <v>330</v>
      </c>
      <c r="C45" s="295">
        <v>769</v>
      </c>
      <c r="D45" s="295">
        <v>1116.63015</v>
      </c>
      <c r="E45" s="295">
        <f>SUM(D45/C45*100)</f>
        <v>145.20548114434331</v>
      </c>
      <c r="F45" s="295">
        <f>SUM(D45-C45)</f>
        <v>347.63014999999996</v>
      </c>
    </row>
    <row r="46" spans="1:6" ht="25.5" customHeight="1">
      <c r="A46" s="7">
        <v>1130305005</v>
      </c>
      <c r="B46" s="256" t="s">
        <v>224</v>
      </c>
      <c r="C46" s="295">
        <v>0</v>
      </c>
      <c r="D46" s="362">
        <v>0</v>
      </c>
      <c r="E46" s="295"/>
      <c r="F46" s="295">
        <f t="shared" si="1"/>
        <v>0</v>
      </c>
    </row>
    <row r="47" spans="1:6" ht="20.25" customHeight="1">
      <c r="A47" s="109">
        <v>1140000000</v>
      </c>
      <c r="B47" s="261" t="s">
        <v>132</v>
      </c>
      <c r="C47" s="294">
        <f>C48+C49</f>
        <v>2128.9769999999999</v>
      </c>
      <c r="D47" s="294">
        <f>D48+D49</f>
        <v>2411.4120200000002</v>
      </c>
      <c r="E47" s="294">
        <f t="shared" si="0"/>
        <v>113.26623162204197</v>
      </c>
      <c r="F47" s="294">
        <f t="shared" si="1"/>
        <v>282.43502000000035</v>
      </c>
    </row>
    <row r="48" spans="1:6" ht="23.25">
      <c r="A48" s="16">
        <v>1140200000</v>
      </c>
      <c r="B48" s="262" t="s">
        <v>222</v>
      </c>
      <c r="C48" s="295">
        <v>200</v>
      </c>
      <c r="D48" s="362">
        <v>241.42753999999999</v>
      </c>
      <c r="E48" s="295">
        <f t="shared" si="0"/>
        <v>120.71376999999998</v>
      </c>
      <c r="F48" s="295">
        <f t="shared" si="1"/>
        <v>41.427539999999993</v>
      </c>
    </row>
    <row r="49" spans="1:8" ht="24" customHeight="1">
      <c r="A49" s="7">
        <v>1140600000</v>
      </c>
      <c r="B49" s="256" t="s">
        <v>223</v>
      </c>
      <c r="C49" s="295">
        <v>1928.9770000000001</v>
      </c>
      <c r="D49" s="362">
        <v>2169.9844800000001</v>
      </c>
      <c r="E49" s="295">
        <f t="shared" si="0"/>
        <v>112.49405669429962</v>
      </c>
      <c r="F49" s="295">
        <f t="shared" si="1"/>
        <v>241.00747999999999</v>
      </c>
    </row>
    <row r="50" spans="1:8" ht="37.5" hidden="1">
      <c r="A50" s="3">
        <v>1150000000</v>
      </c>
      <c r="B50" s="257" t="s">
        <v>235</v>
      </c>
      <c r="C50" s="294">
        <f>C51</f>
        <v>0</v>
      </c>
      <c r="D50" s="294">
        <f>D51</f>
        <v>0</v>
      </c>
      <c r="E50" s="294" t="e">
        <f t="shared" si="0"/>
        <v>#DIV/0!</v>
      </c>
      <c r="F50" s="294">
        <f t="shared" si="1"/>
        <v>0</v>
      </c>
    </row>
    <row r="51" spans="1:8" ht="56.25" hidden="1">
      <c r="A51" s="7">
        <v>1150205005</v>
      </c>
      <c r="B51" s="256" t="s">
        <v>236</v>
      </c>
      <c r="C51" s="295">
        <v>0</v>
      </c>
      <c r="D51" s="362">
        <v>0</v>
      </c>
      <c r="E51" s="295" t="e">
        <f t="shared" si="0"/>
        <v>#DIV/0!</v>
      </c>
      <c r="F51" s="295">
        <f t="shared" si="1"/>
        <v>0</v>
      </c>
    </row>
    <row r="52" spans="1:8" ht="37.5">
      <c r="A52" s="3">
        <v>1160000000</v>
      </c>
      <c r="B52" s="257" t="s">
        <v>134</v>
      </c>
      <c r="C52" s="294">
        <f>C53+C54+C55+C56+C57+C58+C59+C60+C61+C62+C63+C64+C65+C66+C67+C68</f>
        <v>10316</v>
      </c>
      <c r="D52" s="294">
        <f>D53+D54+D55+D56+D57+D58+D59+D60+D61+D62+D63+D64+D65+D66+D67+D68</f>
        <v>10981.48401</v>
      </c>
      <c r="E52" s="294">
        <f>SUM(D52/C52*100)</f>
        <v>106.45098885226831</v>
      </c>
      <c r="F52" s="294">
        <f t="shared" si="1"/>
        <v>665.48401000000013</v>
      </c>
      <c r="H52" s="152"/>
    </row>
    <row r="53" spans="1:8" ht="23.25">
      <c r="A53" s="7">
        <v>1160301001</v>
      </c>
      <c r="B53" s="256" t="s">
        <v>245</v>
      </c>
      <c r="C53" s="295">
        <v>12</v>
      </c>
      <c r="D53" s="451">
        <v>13.519</v>
      </c>
      <c r="E53" s="295">
        <f>SUM(D53/C53*100)</f>
        <v>112.65833333333333</v>
      </c>
      <c r="F53" s="295">
        <f t="shared" si="1"/>
        <v>1.5190000000000001</v>
      </c>
    </row>
    <row r="54" spans="1:8" ht="21" customHeight="1">
      <c r="A54" s="7">
        <v>1160303001</v>
      </c>
      <c r="B54" s="256" t="s">
        <v>246</v>
      </c>
      <c r="C54" s="295">
        <v>8</v>
      </c>
      <c r="D54" s="452">
        <v>9.5</v>
      </c>
      <c r="E54" s="295">
        <f t="shared" si="0"/>
        <v>118.75</v>
      </c>
      <c r="F54" s="295">
        <f t="shared" si="1"/>
        <v>1.5</v>
      </c>
    </row>
    <row r="55" spans="1:8" ht="23.25" customHeight="1">
      <c r="A55" s="7">
        <v>1160600000</v>
      </c>
      <c r="B55" s="256" t="s">
        <v>247</v>
      </c>
      <c r="C55" s="420">
        <v>0</v>
      </c>
      <c r="D55" s="452">
        <v>0</v>
      </c>
      <c r="E55" s="295" t="e">
        <f t="shared" si="0"/>
        <v>#DIV/0!</v>
      </c>
      <c r="F55" s="295">
        <f t="shared" si="1"/>
        <v>0</v>
      </c>
    </row>
    <row r="56" spans="1:8" s="15" customFormat="1" ht="48" customHeight="1">
      <c r="A56" s="7">
        <v>1160800001</v>
      </c>
      <c r="B56" s="256" t="s">
        <v>248</v>
      </c>
      <c r="C56" s="295">
        <v>610</v>
      </c>
      <c r="D56" s="452">
        <v>630</v>
      </c>
      <c r="E56" s="295">
        <f t="shared" si="0"/>
        <v>103.27868852459017</v>
      </c>
      <c r="F56" s="295">
        <f t="shared" si="1"/>
        <v>20</v>
      </c>
    </row>
    <row r="57" spans="1:8" ht="35.25" customHeight="1">
      <c r="A57" s="7">
        <v>1160802001</v>
      </c>
      <c r="B57" s="256" t="s">
        <v>342</v>
      </c>
      <c r="C57" s="420">
        <v>0</v>
      </c>
      <c r="D57" s="362">
        <v>0</v>
      </c>
      <c r="E57" s="295" t="e">
        <f t="shared" si="0"/>
        <v>#DIV/0!</v>
      </c>
      <c r="F57" s="295">
        <f t="shared" si="1"/>
        <v>0</v>
      </c>
    </row>
    <row r="58" spans="1:8" ht="35.25" customHeight="1">
      <c r="A58" s="7">
        <v>1162105005</v>
      </c>
      <c r="B58" s="256" t="s">
        <v>16</v>
      </c>
      <c r="C58" s="295">
        <v>280</v>
      </c>
      <c r="D58" s="362">
        <v>309.71800000000002</v>
      </c>
      <c r="E58" s="295">
        <f t="shared" si="0"/>
        <v>110.61357142857145</v>
      </c>
      <c r="F58" s="295">
        <f t="shared" si="1"/>
        <v>29.718000000000018</v>
      </c>
    </row>
    <row r="59" spans="1:8" ht="35.25" customHeight="1">
      <c r="A59" s="16">
        <v>1162503001</v>
      </c>
      <c r="B59" s="262" t="s">
        <v>333</v>
      </c>
      <c r="C59" s="295">
        <v>0</v>
      </c>
      <c r="D59" s="362">
        <v>80.099999999999994</v>
      </c>
      <c r="E59" s="295" t="e">
        <f t="shared" si="0"/>
        <v>#DIV/0!</v>
      </c>
      <c r="F59" s="295">
        <f t="shared" si="1"/>
        <v>80.099999999999994</v>
      </c>
    </row>
    <row r="60" spans="1:8" ht="21.75" customHeight="1">
      <c r="A60" s="16">
        <v>1162505001</v>
      </c>
      <c r="B60" s="262" t="s">
        <v>345</v>
      </c>
      <c r="C60" s="295">
        <v>20</v>
      </c>
      <c r="D60" s="362">
        <v>20</v>
      </c>
      <c r="E60" s="295">
        <f t="shared" si="0"/>
        <v>100</v>
      </c>
      <c r="F60" s="295">
        <f t="shared" si="1"/>
        <v>0</v>
      </c>
    </row>
    <row r="61" spans="1:8" ht="20.25" customHeight="1">
      <c r="A61" s="16">
        <v>1162506001</v>
      </c>
      <c r="B61" s="262" t="s">
        <v>269</v>
      </c>
      <c r="C61" s="295">
        <v>65</v>
      </c>
      <c r="D61" s="362">
        <v>101.13396</v>
      </c>
      <c r="E61" s="295">
        <f t="shared" si="0"/>
        <v>155.59070769230769</v>
      </c>
      <c r="F61" s="295">
        <f t="shared" si="1"/>
        <v>36.133960000000002</v>
      </c>
    </row>
    <row r="62" spans="1:8" ht="0.75" customHeight="1">
      <c r="A62" s="7">
        <v>1162700001</v>
      </c>
      <c r="B62" s="256" t="s">
        <v>249</v>
      </c>
      <c r="C62" s="295">
        <v>0</v>
      </c>
      <c r="D62" s="362">
        <v>0</v>
      </c>
      <c r="E62" s="295" t="e">
        <f t="shared" si="0"/>
        <v>#DIV/0!</v>
      </c>
      <c r="F62" s="295">
        <f t="shared" si="1"/>
        <v>0</v>
      </c>
    </row>
    <row r="63" spans="1:8" ht="37.5" customHeight="1">
      <c r="A63" s="7">
        <v>1162800001</v>
      </c>
      <c r="B63" s="256" t="s">
        <v>238</v>
      </c>
      <c r="C63" s="295">
        <v>479</v>
      </c>
      <c r="D63" s="362">
        <v>487.37635999999998</v>
      </c>
      <c r="E63" s="295">
        <f>SUM(D63/C63*100)</f>
        <v>101.74871816283924</v>
      </c>
      <c r="F63" s="295">
        <f>SUM(D63-C63)</f>
        <v>8.3763599999999769</v>
      </c>
    </row>
    <row r="64" spans="1:8" ht="36" customHeight="1">
      <c r="A64" s="7">
        <v>1163003001</v>
      </c>
      <c r="B64" s="256" t="s">
        <v>270</v>
      </c>
      <c r="C64" s="295">
        <v>592</v>
      </c>
      <c r="D64" s="362">
        <v>727</v>
      </c>
      <c r="E64" s="295">
        <f>SUM(D64/C64*100)</f>
        <v>122.80405405405406</v>
      </c>
      <c r="F64" s="295">
        <f>SUM(D64-C64)</f>
        <v>135</v>
      </c>
    </row>
    <row r="65" spans="1:8" ht="56.25">
      <c r="A65" s="7">
        <v>1164300001</v>
      </c>
      <c r="B65" s="263" t="s">
        <v>262</v>
      </c>
      <c r="C65" s="295">
        <v>315</v>
      </c>
      <c r="D65" s="362">
        <v>418.85503</v>
      </c>
      <c r="E65" s="295">
        <f t="shared" si="0"/>
        <v>132.96985079365081</v>
      </c>
      <c r="F65" s="295">
        <f t="shared" si="1"/>
        <v>103.85503</v>
      </c>
    </row>
    <row r="66" spans="1:8" ht="73.5" customHeight="1">
      <c r="A66" s="7">
        <v>1163305005</v>
      </c>
      <c r="B66" s="256" t="s">
        <v>17</v>
      </c>
      <c r="C66" s="295">
        <v>5135</v>
      </c>
      <c r="D66" s="362">
        <v>5133.1835000000001</v>
      </c>
      <c r="E66" s="295">
        <f t="shared" si="0"/>
        <v>99.964625121713738</v>
      </c>
      <c r="F66" s="295">
        <f t="shared" si="1"/>
        <v>-1.8164999999999054</v>
      </c>
    </row>
    <row r="67" spans="1:8" ht="23.25">
      <c r="A67" s="7">
        <v>1163500000</v>
      </c>
      <c r="B67" s="256" t="s">
        <v>331</v>
      </c>
      <c r="C67" s="295">
        <v>0</v>
      </c>
      <c r="D67" s="362">
        <v>0</v>
      </c>
      <c r="E67" s="295" t="e">
        <f t="shared" si="0"/>
        <v>#DIV/0!</v>
      </c>
      <c r="F67" s="295">
        <f t="shared" si="1"/>
        <v>0</v>
      </c>
    </row>
    <row r="68" spans="1:8" ht="35.25" customHeight="1">
      <c r="A68" s="7">
        <v>1169000000</v>
      </c>
      <c r="B68" s="256" t="s">
        <v>237</v>
      </c>
      <c r="C68" s="295">
        <v>2800</v>
      </c>
      <c r="D68" s="362">
        <v>3051.09816</v>
      </c>
      <c r="E68" s="295">
        <f t="shared" si="0"/>
        <v>108.96779142857143</v>
      </c>
      <c r="F68" s="295">
        <f t="shared" si="1"/>
        <v>251.09816000000001</v>
      </c>
    </row>
    <row r="69" spans="1:8" ht="25.5" customHeight="1">
      <c r="A69" s="3">
        <v>1170000000</v>
      </c>
      <c r="B69" s="257" t="s">
        <v>135</v>
      </c>
      <c r="C69" s="294">
        <f>C70+C71</f>
        <v>0</v>
      </c>
      <c r="D69" s="294">
        <f>D70+D71</f>
        <v>0</v>
      </c>
      <c r="E69" s="295" t="e">
        <f t="shared" si="0"/>
        <v>#DIV/0!</v>
      </c>
      <c r="F69" s="294">
        <f t="shared" si="1"/>
        <v>0</v>
      </c>
    </row>
    <row r="70" spans="1:8" ht="23.25">
      <c r="A70" s="7">
        <v>1170105005</v>
      </c>
      <c r="B70" s="256" t="s">
        <v>18</v>
      </c>
      <c r="C70" s="295">
        <v>0</v>
      </c>
      <c r="D70" s="295">
        <v>0</v>
      </c>
      <c r="E70" s="295" t="e">
        <f t="shared" si="0"/>
        <v>#DIV/0!</v>
      </c>
      <c r="F70" s="295">
        <f t="shared" si="1"/>
        <v>0</v>
      </c>
    </row>
    <row r="71" spans="1:8" ht="23.25">
      <c r="A71" s="7">
        <v>1170505005</v>
      </c>
      <c r="B71" s="258" t="s">
        <v>221</v>
      </c>
      <c r="C71" s="295">
        <v>0</v>
      </c>
      <c r="D71" s="362">
        <v>0</v>
      </c>
      <c r="E71" s="295" t="e">
        <f t="shared" si="0"/>
        <v>#DIV/0!</v>
      </c>
      <c r="F71" s="295">
        <f t="shared" si="1"/>
        <v>0</v>
      </c>
    </row>
    <row r="72" spans="1:8" s="6" customFormat="1" ht="22.5">
      <c r="A72" s="3">
        <v>1000000000</v>
      </c>
      <c r="B72" s="255" t="s">
        <v>19</v>
      </c>
      <c r="C72" s="450">
        <f>SUM(C4,C32)</f>
        <v>152689.277</v>
      </c>
      <c r="D72" s="453">
        <f>SUM(D4,D32)</f>
        <v>156993.61771999998</v>
      </c>
      <c r="E72" s="294">
        <f>SUM(D72/C72*100)</f>
        <v>102.81901964864237</v>
      </c>
      <c r="F72" s="294">
        <f>SUM(D72-C72)</f>
        <v>4304.3407199999783</v>
      </c>
      <c r="G72" s="94"/>
      <c r="H72" s="94"/>
    </row>
    <row r="73" spans="1:8" s="6" customFormat="1" ht="30" customHeight="1">
      <c r="A73" s="3">
        <v>2000000000</v>
      </c>
      <c r="B73" s="255" t="s">
        <v>20</v>
      </c>
      <c r="C73" s="294">
        <f>C74+C77+C78+C79+C81+C76+C80</f>
        <v>629485.10363000014</v>
      </c>
      <c r="D73" s="294">
        <f>D74+D77+D78+D79+D81+D76+D80</f>
        <v>625225.63680000009</v>
      </c>
      <c r="E73" s="294">
        <f t="shared" si="0"/>
        <v>99.323341123493265</v>
      </c>
      <c r="F73" s="294">
        <f t="shared" si="1"/>
        <v>-4259.4668300000485</v>
      </c>
      <c r="G73" s="94"/>
      <c r="H73" s="94"/>
    </row>
    <row r="74" spans="1:8" ht="21.75" customHeight="1">
      <c r="A74" s="16">
        <v>2021000000</v>
      </c>
      <c r="B74" s="259" t="s">
        <v>21</v>
      </c>
      <c r="C74" s="363">
        <v>22791.5</v>
      </c>
      <c r="D74" s="454">
        <v>22791.5</v>
      </c>
      <c r="E74" s="295">
        <f t="shared" si="0"/>
        <v>100</v>
      </c>
      <c r="F74" s="295">
        <f t="shared" si="1"/>
        <v>0</v>
      </c>
    </row>
    <row r="75" spans="1:8" ht="32.25" hidden="1" customHeight="1">
      <c r="A75" s="16">
        <v>2020100905</v>
      </c>
      <c r="B75" s="262" t="s">
        <v>276</v>
      </c>
      <c r="C75" s="363">
        <v>0</v>
      </c>
      <c r="D75" s="454">
        <v>0</v>
      </c>
      <c r="E75" s="295" t="e">
        <f t="shared" si="0"/>
        <v>#DIV/0!</v>
      </c>
      <c r="F75" s="295">
        <f t="shared" si="1"/>
        <v>0</v>
      </c>
    </row>
    <row r="76" spans="1:8" ht="21.75" customHeight="1">
      <c r="A76" s="16">
        <v>2020100310</v>
      </c>
      <c r="B76" s="259" t="s">
        <v>232</v>
      </c>
      <c r="C76" s="363">
        <v>17580</v>
      </c>
      <c r="D76" s="454">
        <v>17580</v>
      </c>
      <c r="E76" s="295">
        <f t="shared" si="0"/>
        <v>100</v>
      </c>
      <c r="F76" s="295">
        <f t="shared" si="1"/>
        <v>0</v>
      </c>
    </row>
    <row r="77" spans="1:8" ht="23.25">
      <c r="A77" s="16">
        <v>2022000000</v>
      </c>
      <c r="B77" s="259" t="s">
        <v>22</v>
      </c>
      <c r="C77" s="363">
        <v>234349.59330000001</v>
      </c>
      <c r="D77" s="362">
        <v>232914.89913999999</v>
      </c>
      <c r="E77" s="295">
        <f t="shared" si="0"/>
        <v>99.387797461136017</v>
      </c>
      <c r="F77" s="295">
        <f t="shared" si="1"/>
        <v>-1434.6941600000137</v>
      </c>
    </row>
    <row r="78" spans="1:8" ht="23.25">
      <c r="A78" s="16">
        <v>2023000000</v>
      </c>
      <c r="B78" s="259" t="s">
        <v>23</v>
      </c>
      <c r="C78" s="363">
        <v>333395.58033000003</v>
      </c>
      <c r="D78" s="455">
        <v>330610.11007</v>
      </c>
      <c r="E78" s="295">
        <f t="shared" si="0"/>
        <v>99.164514941306976</v>
      </c>
      <c r="F78" s="295">
        <f t="shared" si="1"/>
        <v>-2785.470260000031</v>
      </c>
    </row>
    <row r="79" spans="1:8" ht="19.5" customHeight="1">
      <c r="A79" s="16">
        <v>2024000000</v>
      </c>
      <c r="B79" s="262" t="s">
        <v>24</v>
      </c>
      <c r="C79" s="363">
        <v>21372.65</v>
      </c>
      <c r="D79" s="456">
        <v>21372.65</v>
      </c>
      <c r="E79" s="295">
        <f t="shared" si="0"/>
        <v>100</v>
      </c>
      <c r="F79" s="295">
        <f t="shared" si="1"/>
        <v>0</v>
      </c>
    </row>
    <row r="80" spans="1:8" ht="23.25">
      <c r="A80" s="16">
        <v>2180500005</v>
      </c>
      <c r="B80" s="262" t="s">
        <v>325</v>
      </c>
      <c r="C80" s="363">
        <v>0</v>
      </c>
      <c r="D80" s="456">
        <v>488.56979000000001</v>
      </c>
      <c r="E80" s="295" t="e">
        <f t="shared" si="0"/>
        <v>#DIV/0!</v>
      </c>
      <c r="F80" s="295">
        <f t="shared" si="1"/>
        <v>488.56979000000001</v>
      </c>
    </row>
    <row r="81" spans="1:8" ht="22.5" customHeight="1">
      <c r="A81" s="7">
        <v>2196001005</v>
      </c>
      <c r="B81" s="258" t="s">
        <v>26</v>
      </c>
      <c r="C81" s="362">
        <v>-4.22</v>
      </c>
      <c r="D81" s="362">
        <v>-532.09220000000005</v>
      </c>
      <c r="E81" s="295">
        <f t="shared" si="0"/>
        <v>12608.819905213273</v>
      </c>
      <c r="F81" s="295">
        <f>SUM(D81-C81)</f>
        <v>-527.87220000000002</v>
      </c>
    </row>
    <row r="82" spans="1:8" s="6" customFormat="1" ht="56.25" hidden="1">
      <c r="A82" s="3">
        <v>3000000000</v>
      </c>
      <c r="B82" s="257" t="s">
        <v>27</v>
      </c>
      <c r="C82" s="365">
        <v>0</v>
      </c>
      <c r="D82" s="457">
        <v>0</v>
      </c>
      <c r="E82" s="295" t="e">
        <f t="shared" si="0"/>
        <v>#DIV/0!</v>
      </c>
      <c r="F82" s="294">
        <f t="shared" si="1"/>
        <v>0</v>
      </c>
    </row>
    <row r="83" spans="1:8" s="6" customFormat="1" ht="22.5" customHeight="1">
      <c r="A83" s="3"/>
      <c r="B83" s="255" t="s">
        <v>28</v>
      </c>
      <c r="C83" s="458">
        <f>C72+C73</f>
        <v>782174.38063000015</v>
      </c>
      <c r="D83" s="458">
        <f>D72+D73</f>
        <v>782219.25452000007</v>
      </c>
      <c r="E83" s="295">
        <f>SUM(D83/C83*100)</f>
        <v>100.00573706977769</v>
      </c>
      <c r="F83" s="294">
        <f>SUM(D84-C83)</f>
        <v>-754255.16657</v>
      </c>
      <c r="G83" s="323"/>
      <c r="H83" s="94"/>
    </row>
    <row r="84" spans="1:8" s="6" customFormat="1" ht="22.5">
      <c r="A84" s="3"/>
      <c r="B84" s="264" t="s">
        <v>321</v>
      </c>
      <c r="C84" s="469">
        <f>C83-C143</f>
        <v>-9930.6299999997718</v>
      </c>
      <c r="D84" s="294">
        <f>D83-D143</f>
        <v>27919.214060000144</v>
      </c>
      <c r="E84" s="296"/>
      <c r="F84" s="296"/>
      <c r="G84" s="94"/>
      <c r="H84" s="94"/>
    </row>
    <row r="85" spans="1:8" ht="23.25">
      <c r="A85" s="23"/>
      <c r="B85" s="24"/>
      <c r="C85" s="366"/>
      <c r="D85" s="366"/>
      <c r="E85" s="297"/>
      <c r="F85" s="297"/>
    </row>
    <row r="86" spans="1:8" ht="63">
      <c r="A86" s="28" t="s">
        <v>1</v>
      </c>
      <c r="B86" s="28" t="s">
        <v>29</v>
      </c>
      <c r="C86" s="298" t="s">
        <v>346</v>
      </c>
      <c r="D86" s="459" t="s">
        <v>416</v>
      </c>
      <c r="E86" s="298" t="s">
        <v>3</v>
      </c>
      <c r="F86" s="299" t="s">
        <v>4</v>
      </c>
    </row>
    <row r="87" spans="1:8" ht="22.5">
      <c r="A87" s="29">
        <v>1</v>
      </c>
      <c r="B87" s="28">
        <v>2</v>
      </c>
      <c r="C87" s="300">
        <v>3</v>
      </c>
      <c r="D87" s="460">
        <v>4</v>
      </c>
      <c r="E87" s="300">
        <v>5</v>
      </c>
      <c r="F87" s="300">
        <v>6</v>
      </c>
    </row>
    <row r="88" spans="1:8" s="6" customFormat="1" ht="22.5">
      <c r="A88" s="30" t="s">
        <v>30</v>
      </c>
      <c r="B88" s="265" t="s">
        <v>31</v>
      </c>
      <c r="C88" s="296">
        <f>SUM(C89:C95)</f>
        <v>43283.367049999993</v>
      </c>
      <c r="D88" s="296">
        <f>SUM(D89:D95)</f>
        <v>41586.520510000002</v>
      </c>
      <c r="E88" s="301">
        <f>SUM(D88/C88*100)</f>
        <v>96.079679896344871</v>
      </c>
      <c r="F88" s="301">
        <f>SUM(D88-C88)</f>
        <v>-1696.8465399999914</v>
      </c>
    </row>
    <row r="89" spans="1:8" s="6" customFormat="1" ht="37.5">
      <c r="A89" s="35" t="s">
        <v>32</v>
      </c>
      <c r="B89" s="266" t="s">
        <v>33</v>
      </c>
      <c r="C89" s="461">
        <v>50</v>
      </c>
      <c r="D89" s="461">
        <v>49.999740000000003</v>
      </c>
      <c r="E89" s="301">
        <f>SUM(D89/C89*100)</f>
        <v>99.999480000000005</v>
      </c>
      <c r="F89" s="301">
        <f>SUM(D89-C89)</f>
        <v>-2.5999999999726242E-4</v>
      </c>
    </row>
    <row r="90" spans="1:8" ht="21.75" customHeight="1">
      <c r="A90" s="35" t="s">
        <v>34</v>
      </c>
      <c r="B90" s="267" t="s">
        <v>35</v>
      </c>
      <c r="C90" s="461">
        <v>22792.748869999999</v>
      </c>
      <c r="D90" s="461">
        <v>22779.495699999999</v>
      </c>
      <c r="E90" s="302">
        <f t="shared" ref="E90:E143" si="3">SUM(D90/C90*100)</f>
        <v>99.94185356897674</v>
      </c>
      <c r="F90" s="302">
        <f t="shared" ref="F90:F143" si="4">SUM(D90-C90)</f>
        <v>-13.253169999999955</v>
      </c>
    </row>
    <row r="91" spans="1:8" ht="19.5" customHeight="1">
      <c r="A91" s="35" t="s">
        <v>36</v>
      </c>
      <c r="B91" s="267" t="s">
        <v>37</v>
      </c>
      <c r="C91" s="461">
        <v>126.8</v>
      </c>
      <c r="D91" s="461">
        <v>126.8</v>
      </c>
      <c r="E91" s="302">
        <f t="shared" si="3"/>
        <v>100</v>
      </c>
      <c r="F91" s="302">
        <f t="shared" si="4"/>
        <v>0</v>
      </c>
    </row>
    <row r="92" spans="1:8" ht="38.25" customHeight="1">
      <c r="A92" s="35" t="s">
        <v>38</v>
      </c>
      <c r="B92" s="267" t="s">
        <v>39</v>
      </c>
      <c r="C92" s="462">
        <v>5276.1580000000004</v>
      </c>
      <c r="D92" s="462">
        <v>5257.7857999999997</v>
      </c>
      <c r="E92" s="302">
        <f t="shared" si="3"/>
        <v>99.651788289888202</v>
      </c>
      <c r="F92" s="302">
        <f t="shared" si="4"/>
        <v>-18.372200000000703</v>
      </c>
    </row>
    <row r="93" spans="1:8" ht="18.75" customHeight="1">
      <c r="A93" s="35" t="s">
        <v>40</v>
      </c>
      <c r="B93" s="267" t="s">
        <v>41</v>
      </c>
      <c r="C93" s="461">
        <v>90.55</v>
      </c>
      <c r="D93" s="461">
        <v>90.55</v>
      </c>
      <c r="E93" s="302">
        <f t="shared" si="3"/>
        <v>100</v>
      </c>
      <c r="F93" s="302">
        <f t="shared" si="4"/>
        <v>0</v>
      </c>
    </row>
    <row r="94" spans="1:8" ht="24.75" customHeight="1">
      <c r="A94" s="35" t="s">
        <v>42</v>
      </c>
      <c r="B94" s="267" t="s">
        <v>43</v>
      </c>
      <c r="C94" s="462">
        <v>1662.8039100000001</v>
      </c>
      <c r="D94" s="462">
        <v>0</v>
      </c>
      <c r="E94" s="302">
        <f t="shared" si="3"/>
        <v>0</v>
      </c>
      <c r="F94" s="302">
        <f t="shared" si="4"/>
        <v>-1662.8039100000001</v>
      </c>
    </row>
    <row r="95" spans="1:8" ht="24" customHeight="1">
      <c r="A95" s="35" t="s">
        <v>44</v>
      </c>
      <c r="B95" s="267" t="s">
        <v>45</v>
      </c>
      <c r="C95" s="461">
        <v>13284.306269999999</v>
      </c>
      <c r="D95" s="461">
        <v>13281.88927</v>
      </c>
      <c r="E95" s="302">
        <f t="shared" si="3"/>
        <v>99.981805598644939</v>
      </c>
      <c r="F95" s="302">
        <f t="shared" si="4"/>
        <v>-2.4169999999994616</v>
      </c>
    </row>
    <row r="96" spans="1:8" s="6" customFormat="1" ht="22.5">
      <c r="A96" s="41" t="s">
        <v>46</v>
      </c>
      <c r="B96" s="268" t="s">
        <v>47</v>
      </c>
      <c r="C96" s="296">
        <f>C97</f>
        <v>2049</v>
      </c>
      <c r="D96" s="296">
        <f>D97</f>
        <v>2049</v>
      </c>
      <c r="E96" s="301">
        <f t="shared" si="3"/>
        <v>100</v>
      </c>
      <c r="F96" s="301">
        <f t="shared" si="4"/>
        <v>0</v>
      </c>
    </row>
    <row r="97" spans="1:7" ht="23.25">
      <c r="A97" s="43" t="s">
        <v>48</v>
      </c>
      <c r="B97" s="269" t="s">
        <v>49</v>
      </c>
      <c r="C97" s="461">
        <v>2049</v>
      </c>
      <c r="D97" s="461">
        <v>2049</v>
      </c>
      <c r="E97" s="302">
        <f t="shared" si="3"/>
        <v>100</v>
      </c>
      <c r="F97" s="302">
        <f t="shared" si="4"/>
        <v>0</v>
      </c>
    </row>
    <row r="98" spans="1:7" s="6" customFormat="1" ht="21" customHeight="1">
      <c r="A98" s="30" t="s">
        <v>50</v>
      </c>
      <c r="B98" s="265" t="s">
        <v>51</v>
      </c>
      <c r="C98" s="296">
        <f>SUM(C100:C103)</f>
        <v>4759.7303700000002</v>
      </c>
      <c r="D98" s="296">
        <f>SUM(D100:D103)</f>
        <v>4759.7302300000001</v>
      </c>
      <c r="E98" s="301">
        <f t="shared" si="3"/>
        <v>99.999997058656916</v>
      </c>
      <c r="F98" s="301">
        <f t="shared" si="4"/>
        <v>-1.4000000010128133E-4</v>
      </c>
    </row>
    <row r="99" spans="1:7" ht="23.25" hidden="1">
      <c r="A99" s="35" t="s">
        <v>52</v>
      </c>
      <c r="B99" s="267" t="s">
        <v>53</v>
      </c>
      <c r="C99" s="461"/>
      <c r="D99" s="461"/>
      <c r="E99" s="302" t="e">
        <f t="shared" si="3"/>
        <v>#DIV/0!</v>
      </c>
      <c r="F99" s="302">
        <f t="shared" si="4"/>
        <v>0</v>
      </c>
    </row>
    <row r="100" spans="1:7" ht="23.25">
      <c r="A100" s="45" t="s">
        <v>54</v>
      </c>
      <c r="B100" s="267" t="s">
        <v>327</v>
      </c>
      <c r="C100" s="461">
        <v>1648.8</v>
      </c>
      <c r="D100" s="461">
        <v>1648.8</v>
      </c>
      <c r="E100" s="302">
        <f t="shared" si="3"/>
        <v>100</v>
      </c>
      <c r="F100" s="302">
        <f t="shared" si="4"/>
        <v>0</v>
      </c>
    </row>
    <row r="101" spans="1:7" ht="36.75" customHeight="1">
      <c r="A101" s="46" t="s">
        <v>56</v>
      </c>
      <c r="B101" s="270" t="s">
        <v>57</v>
      </c>
      <c r="C101" s="461">
        <v>3017.5936799999999</v>
      </c>
      <c r="D101" s="461">
        <v>3017.5935399999998</v>
      </c>
      <c r="E101" s="302">
        <f t="shared" si="3"/>
        <v>99.999995360541718</v>
      </c>
      <c r="F101" s="302">
        <f t="shared" si="4"/>
        <v>-1.4000000010128133E-4</v>
      </c>
    </row>
    <row r="102" spans="1:7" ht="21" customHeight="1">
      <c r="A102" s="46" t="s">
        <v>219</v>
      </c>
      <c r="B102" s="270" t="s">
        <v>220</v>
      </c>
      <c r="C102" s="461">
        <v>0</v>
      </c>
      <c r="D102" s="461">
        <v>0</v>
      </c>
      <c r="E102" s="302" t="e">
        <f t="shared" si="3"/>
        <v>#DIV/0!</v>
      </c>
      <c r="F102" s="302">
        <f t="shared" si="4"/>
        <v>0</v>
      </c>
    </row>
    <row r="103" spans="1:7" ht="34.5" customHeight="1">
      <c r="A103" s="46" t="s">
        <v>360</v>
      </c>
      <c r="B103" s="270" t="s">
        <v>361</v>
      </c>
      <c r="C103" s="470">
        <v>93.336690000000004</v>
      </c>
      <c r="D103" s="461">
        <v>93.336690000000004</v>
      </c>
      <c r="E103" s="302">
        <f t="shared" si="3"/>
        <v>100</v>
      </c>
      <c r="F103" s="302">
        <f t="shared" si="4"/>
        <v>0</v>
      </c>
    </row>
    <row r="104" spans="1:7" s="6" customFormat="1" ht="25.5" customHeight="1">
      <c r="A104" s="30" t="s">
        <v>58</v>
      </c>
      <c r="B104" s="265" t="s">
        <v>59</v>
      </c>
      <c r="C104" s="463">
        <f>SUM(C106:C108)</f>
        <v>163757.32999999999</v>
      </c>
      <c r="D104" s="463">
        <f>SUM(D106:D108)</f>
        <v>160753.29439</v>
      </c>
      <c r="E104" s="301">
        <f t="shared" si="3"/>
        <v>98.165556552491424</v>
      </c>
      <c r="F104" s="301">
        <f t="shared" si="4"/>
        <v>-3004.0356099999917</v>
      </c>
    </row>
    <row r="105" spans="1:7" ht="0.75" hidden="1" customHeight="1">
      <c r="A105" s="35" t="s">
        <v>60</v>
      </c>
      <c r="B105" s="267" t="s">
        <v>61</v>
      </c>
      <c r="C105" s="471">
        <v>0</v>
      </c>
      <c r="D105" s="461">
        <v>0</v>
      </c>
      <c r="E105" s="302" t="e">
        <f t="shared" si="3"/>
        <v>#DIV/0!</v>
      </c>
      <c r="F105" s="302">
        <f t="shared" si="4"/>
        <v>0</v>
      </c>
    </row>
    <row r="106" spans="1:7" s="6" customFormat="1" ht="20.25" customHeight="1">
      <c r="A106" s="35" t="s">
        <v>60</v>
      </c>
      <c r="B106" s="267" t="s">
        <v>324</v>
      </c>
      <c r="C106" s="471">
        <v>103.1</v>
      </c>
      <c r="D106" s="461">
        <v>103.1</v>
      </c>
      <c r="E106" s="302">
        <f t="shared" si="3"/>
        <v>100</v>
      </c>
      <c r="F106" s="302">
        <f t="shared" si="4"/>
        <v>0</v>
      </c>
      <c r="G106" s="50"/>
    </row>
    <row r="107" spans="1:7" ht="26.25" customHeight="1">
      <c r="A107" s="35" t="s">
        <v>64</v>
      </c>
      <c r="B107" s="267" t="s">
        <v>65</v>
      </c>
      <c r="C107" s="471">
        <v>162274.82999999999</v>
      </c>
      <c r="D107" s="461">
        <v>159312.79887</v>
      </c>
      <c r="E107" s="302">
        <f t="shared" si="3"/>
        <v>98.174682339830525</v>
      </c>
      <c r="F107" s="302">
        <f t="shared" si="4"/>
        <v>-2962.0311299999885</v>
      </c>
    </row>
    <row r="108" spans="1:7" ht="38.25">
      <c r="A108" s="35" t="s">
        <v>66</v>
      </c>
      <c r="B108" s="267" t="s">
        <v>67</v>
      </c>
      <c r="C108" s="471">
        <v>1379.4</v>
      </c>
      <c r="D108" s="461">
        <v>1337.39552</v>
      </c>
      <c r="E108" s="302">
        <f t="shared" si="3"/>
        <v>96.954873133246338</v>
      </c>
      <c r="F108" s="302">
        <f t="shared" si="4"/>
        <v>-42.004480000000058</v>
      </c>
    </row>
    <row r="109" spans="1:7" s="6" customFormat="1" ht="37.5">
      <c r="A109" s="30" t="s">
        <v>68</v>
      </c>
      <c r="B109" s="265" t="s">
        <v>69</v>
      </c>
      <c r="C109" s="296">
        <f>SUM(C110:C112)</f>
        <v>6476.2497100000001</v>
      </c>
      <c r="D109" s="296">
        <f>SUM(D110:D112)</f>
        <v>6473.4851399999998</v>
      </c>
      <c r="E109" s="301">
        <f t="shared" si="3"/>
        <v>99.957312177204486</v>
      </c>
      <c r="F109" s="301">
        <f t="shared" si="4"/>
        <v>-2.7645700000002762</v>
      </c>
    </row>
    <row r="110" spans="1:7" ht="23.25">
      <c r="A110" s="35" t="s">
        <v>70</v>
      </c>
      <c r="B110" s="271" t="s">
        <v>71</v>
      </c>
      <c r="C110" s="461">
        <v>871.05</v>
      </c>
      <c r="D110" s="461">
        <v>871.04439000000002</v>
      </c>
      <c r="E110" s="302">
        <f t="shared" si="3"/>
        <v>99.999355949715863</v>
      </c>
      <c r="F110" s="302">
        <f t="shared" si="4"/>
        <v>-5.6099999999332795E-3</v>
      </c>
    </row>
    <row r="111" spans="1:7" ht="23.25" customHeight="1">
      <c r="A111" s="35" t="s">
        <v>72</v>
      </c>
      <c r="B111" s="271" t="s">
        <v>73</v>
      </c>
      <c r="C111" s="461">
        <v>5605.1997099999999</v>
      </c>
      <c r="D111" s="461">
        <v>5602.4407499999998</v>
      </c>
      <c r="E111" s="302">
        <f t="shared" si="3"/>
        <v>99.950778560216548</v>
      </c>
      <c r="F111" s="302">
        <f t="shared" si="4"/>
        <v>-2.7589600000001155</v>
      </c>
    </row>
    <row r="112" spans="1:7" ht="19.5" customHeight="1">
      <c r="A112" s="35" t="s">
        <v>74</v>
      </c>
      <c r="B112" s="267" t="s">
        <v>75</v>
      </c>
      <c r="C112" s="461">
        <v>0</v>
      </c>
      <c r="D112" s="461">
        <v>0</v>
      </c>
      <c r="E112" s="302" t="e">
        <f t="shared" si="3"/>
        <v>#DIV/0!</v>
      </c>
      <c r="F112" s="302">
        <f t="shared" si="4"/>
        <v>0</v>
      </c>
    </row>
    <row r="113" spans="1:7" s="6" customFormat="1" ht="22.5">
      <c r="A113" s="30" t="s">
        <v>76</v>
      </c>
      <c r="B113" s="272" t="s">
        <v>77</v>
      </c>
      <c r="C113" s="463">
        <f>SUM(C114)</f>
        <v>51</v>
      </c>
      <c r="D113" s="463">
        <f>SUM(D114)</f>
        <v>51</v>
      </c>
      <c r="E113" s="301">
        <f t="shared" si="3"/>
        <v>100</v>
      </c>
      <c r="F113" s="301">
        <f t="shared" si="4"/>
        <v>0</v>
      </c>
    </row>
    <row r="114" spans="1:7" ht="38.25">
      <c r="A114" s="35" t="s">
        <v>78</v>
      </c>
      <c r="B114" s="271" t="s">
        <v>79</v>
      </c>
      <c r="C114" s="302">
        <v>51</v>
      </c>
      <c r="D114" s="462">
        <v>51</v>
      </c>
      <c r="E114" s="302">
        <f t="shared" si="3"/>
        <v>100</v>
      </c>
      <c r="F114" s="302">
        <f t="shared" si="4"/>
        <v>0</v>
      </c>
    </row>
    <row r="115" spans="1:7" s="6" customFormat="1" ht="22.5">
      <c r="A115" s="30" t="s">
        <v>80</v>
      </c>
      <c r="B115" s="272" t="s">
        <v>81</v>
      </c>
      <c r="C115" s="463">
        <f>SUM(C116:C120)</f>
        <v>448916.24761000002</v>
      </c>
      <c r="D115" s="463">
        <f>D116+D117+D119+D120+D118</f>
        <v>419383.51455000002</v>
      </c>
      <c r="E115" s="301">
        <f t="shared" si="3"/>
        <v>93.421326758113494</v>
      </c>
      <c r="F115" s="301">
        <f t="shared" si="4"/>
        <v>-29532.733059999999</v>
      </c>
    </row>
    <row r="116" spans="1:7" ht="23.25">
      <c r="A116" s="35" t="s">
        <v>82</v>
      </c>
      <c r="B116" s="271" t="s">
        <v>258</v>
      </c>
      <c r="C116" s="471">
        <v>107068.08332000001</v>
      </c>
      <c r="D116" s="461">
        <v>97359.083320000005</v>
      </c>
      <c r="E116" s="302">
        <f t="shared" si="3"/>
        <v>90.931938165940451</v>
      </c>
      <c r="F116" s="302">
        <f t="shared" si="4"/>
        <v>-9709</v>
      </c>
    </row>
    <row r="117" spans="1:7" ht="23.25">
      <c r="A117" s="35" t="s">
        <v>83</v>
      </c>
      <c r="B117" s="271" t="s">
        <v>259</v>
      </c>
      <c r="C117" s="471">
        <v>309843.48405999999</v>
      </c>
      <c r="D117" s="461">
        <v>292037.46184</v>
      </c>
      <c r="E117" s="302">
        <f t="shared" si="3"/>
        <v>94.253220372208332</v>
      </c>
      <c r="F117" s="302">
        <f t="shared" si="4"/>
        <v>-17806.022219999984</v>
      </c>
    </row>
    <row r="118" spans="1:7" ht="23.25">
      <c r="A118" s="35" t="s">
        <v>335</v>
      </c>
      <c r="B118" s="271" t="s">
        <v>336</v>
      </c>
      <c r="C118" s="471">
        <v>19908.68</v>
      </c>
      <c r="D118" s="461">
        <v>17892.18</v>
      </c>
      <c r="E118" s="302">
        <f t="shared" si="3"/>
        <v>89.871252137258722</v>
      </c>
      <c r="F118" s="302">
        <f t="shared" si="4"/>
        <v>-2016.5</v>
      </c>
    </row>
    <row r="119" spans="1:7" ht="23.25">
      <c r="A119" s="35" t="s">
        <v>84</v>
      </c>
      <c r="B119" s="271" t="s">
        <v>260</v>
      </c>
      <c r="C119" s="471">
        <v>5254.3522000000003</v>
      </c>
      <c r="D119" s="461">
        <v>5254.2921999999999</v>
      </c>
      <c r="E119" s="302">
        <f t="shared" si="3"/>
        <v>99.998858089490071</v>
      </c>
      <c r="F119" s="302">
        <f t="shared" si="4"/>
        <v>-6.0000000000400178E-2</v>
      </c>
    </row>
    <row r="120" spans="1:7" ht="23.25">
      <c r="A120" s="35" t="s">
        <v>85</v>
      </c>
      <c r="B120" s="271" t="s">
        <v>261</v>
      </c>
      <c r="C120" s="471">
        <v>6841.6480300000003</v>
      </c>
      <c r="D120" s="461">
        <v>6840.49719</v>
      </c>
      <c r="E120" s="302">
        <f t="shared" si="3"/>
        <v>99.983178906676372</v>
      </c>
      <c r="F120" s="302">
        <f t="shared" si="4"/>
        <v>-1.1508400000002439</v>
      </c>
    </row>
    <row r="121" spans="1:7" s="6" customFormat="1" ht="22.5">
      <c r="A121" s="30" t="s">
        <v>86</v>
      </c>
      <c r="B121" s="265" t="s">
        <v>87</v>
      </c>
      <c r="C121" s="296">
        <f>SUM(C122:C123)</f>
        <v>49561.653169999998</v>
      </c>
      <c r="D121" s="296">
        <f>SUM(D122:D123)</f>
        <v>49498.015009999996</v>
      </c>
      <c r="E121" s="301">
        <f t="shared" si="3"/>
        <v>99.871597987698834</v>
      </c>
      <c r="F121" s="301">
        <f t="shared" si="4"/>
        <v>-63.638160000002244</v>
      </c>
    </row>
    <row r="122" spans="1:7" ht="23.25">
      <c r="A122" s="35" t="s">
        <v>88</v>
      </c>
      <c r="B122" s="267" t="s">
        <v>234</v>
      </c>
      <c r="C122" s="461">
        <v>48658.125419999997</v>
      </c>
      <c r="D122" s="461">
        <v>48620.475359999997</v>
      </c>
      <c r="E122" s="302">
        <f t="shared" si="3"/>
        <v>99.922623283007681</v>
      </c>
      <c r="F122" s="302">
        <f t="shared" si="4"/>
        <v>-37.650059999999939</v>
      </c>
    </row>
    <row r="123" spans="1:7" ht="38.25">
      <c r="A123" s="35" t="s">
        <v>273</v>
      </c>
      <c r="B123" s="267" t="s">
        <v>274</v>
      </c>
      <c r="C123" s="461">
        <v>903.52774999999997</v>
      </c>
      <c r="D123" s="461">
        <v>877.53965000000005</v>
      </c>
      <c r="E123" s="302">
        <f t="shared" si="3"/>
        <v>97.123707600568991</v>
      </c>
      <c r="F123" s="302">
        <f t="shared" si="4"/>
        <v>-25.988099999999918</v>
      </c>
    </row>
    <row r="124" spans="1:7" s="6" customFormat="1" ht="22.5">
      <c r="A124" s="52">
        <v>1000</v>
      </c>
      <c r="B124" s="265" t="s">
        <v>89</v>
      </c>
      <c r="C124" s="296">
        <f>SUM(C125:C128)</f>
        <v>29685.450900000003</v>
      </c>
      <c r="D124" s="464">
        <f>D125+D126+D127+D128</f>
        <v>26180.627769999999</v>
      </c>
      <c r="E124" s="301">
        <f t="shared" si="3"/>
        <v>88.193465068775481</v>
      </c>
      <c r="F124" s="301">
        <f t="shared" si="4"/>
        <v>-3504.8231300000043</v>
      </c>
      <c r="G124" s="94"/>
    </row>
    <row r="125" spans="1:7" ht="23.25">
      <c r="A125" s="53">
        <v>1001</v>
      </c>
      <c r="B125" s="273" t="s">
        <v>90</v>
      </c>
      <c r="C125" s="461">
        <v>49.686999999999998</v>
      </c>
      <c r="D125" s="461">
        <v>49.654110000000003</v>
      </c>
      <c r="E125" s="302">
        <f t="shared" si="3"/>
        <v>99.933805623201252</v>
      </c>
      <c r="F125" s="302">
        <f t="shared" si="4"/>
        <v>-3.2889999999994757E-2</v>
      </c>
    </row>
    <row r="126" spans="1:7" ht="23.25">
      <c r="A126" s="53">
        <v>1003</v>
      </c>
      <c r="B126" s="273" t="s">
        <v>91</v>
      </c>
      <c r="C126" s="461">
        <v>24564.065770000001</v>
      </c>
      <c r="D126" s="461">
        <v>22932.191340000001</v>
      </c>
      <c r="E126" s="302">
        <f t="shared" si="3"/>
        <v>93.356659906060827</v>
      </c>
      <c r="F126" s="302">
        <f t="shared" si="4"/>
        <v>-1631.8744299999998</v>
      </c>
    </row>
    <row r="127" spans="1:7" ht="23.25">
      <c r="A127" s="53">
        <v>1004</v>
      </c>
      <c r="B127" s="273" t="s">
        <v>92</v>
      </c>
      <c r="C127" s="461">
        <v>4717.3303299999998</v>
      </c>
      <c r="D127" s="465">
        <v>2845.7444500000001</v>
      </c>
      <c r="E127" s="302">
        <f t="shared" si="3"/>
        <v>60.325316459235545</v>
      </c>
      <c r="F127" s="302">
        <f t="shared" si="4"/>
        <v>-1871.5858799999996</v>
      </c>
    </row>
    <row r="128" spans="1:7" ht="24.75" customHeight="1">
      <c r="A128" s="35" t="s">
        <v>93</v>
      </c>
      <c r="B128" s="267" t="s">
        <v>94</v>
      </c>
      <c r="C128" s="461">
        <v>354.36779999999999</v>
      </c>
      <c r="D128" s="461">
        <v>353.03787</v>
      </c>
      <c r="E128" s="302">
        <f t="shared" si="3"/>
        <v>99.624703486039081</v>
      </c>
      <c r="F128" s="302">
        <f t="shared" si="4"/>
        <v>-1.3299299999999903</v>
      </c>
    </row>
    <row r="129" spans="1:7" ht="23.25">
      <c r="A129" s="30" t="s">
        <v>95</v>
      </c>
      <c r="B129" s="265" t="s">
        <v>96</v>
      </c>
      <c r="C129" s="296">
        <f>C130+C131</f>
        <v>5923.5628100000004</v>
      </c>
      <c r="D129" s="296">
        <f>D130+D131</f>
        <v>5923.5628100000004</v>
      </c>
      <c r="E129" s="302">
        <f t="shared" si="3"/>
        <v>100</v>
      </c>
      <c r="F129" s="296">
        <f>F130+F131+F132+F133+F134</f>
        <v>0</v>
      </c>
    </row>
    <row r="130" spans="1:7" ht="23.25">
      <c r="A130" s="35" t="s">
        <v>97</v>
      </c>
      <c r="B130" s="267" t="s">
        <v>98</v>
      </c>
      <c r="C130" s="461">
        <v>400</v>
      </c>
      <c r="D130" s="461">
        <v>400</v>
      </c>
      <c r="E130" s="302">
        <f t="shared" si="3"/>
        <v>100</v>
      </c>
      <c r="F130" s="302">
        <f t="shared" ref="F130:F138" si="5">SUM(D130-C130)</f>
        <v>0</v>
      </c>
    </row>
    <row r="131" spans="1:7" ht="20.25" customHeight="1">
      <c r="A131" s="35" t="s">
        <v>99</v>
      </c>
      <c r="B131" s="267" t="s">
        <v>100</v>
      </c>
      <c r="C131" s="461">
        <v>5523.5628100000004</v>
      </c>
      <c r="D131" s="461">
        <v>5523.5628100000004</v>
      </c>
      <c r="E131" s="302">
        <f t="shared" si="3"/>
        <v>100</v>
      </c>
      <c r="F131" s="302">
        <f t="shared" si="5"/>
        <v>0</v>
      </c>
    </row>
    <row r="132" spans="1:7" ht="15.75" hidden="1" customHeight="1">
      <c r="A132" s="35" t="s">
        <v>101</v>
      </c>
      <c r="B132" s="267" t="s">
        <v>102</v>
      </c>
      <c r="C132" s="461">
        <f>SUM(C122:C123)</f>
        <v>49561.653169999998</v>
      </c>
      <c r="D132" s="461"/>
      <c r="E132" s="302">
        <f t="shared" si="3"/>
        <v>0</v>
      </c>
      <c r="F132" s="302"/>
    </row>
    <row r="133" spans="1:7" ht="15.75" hidden="1" customHeight="1">
      <c r="A133" s="35" t="s">
        <v>103</v>
      </c>
      <c r="B133" s="267" t="s">
        <v>104</v>
      </c>
      <c r="C133" s="461"/>
      <c r="D133" s="461"/>
      <c r="E133" s="302" t="e">
        <f t="shared" si="3"/>
        <v>#DIV/0!</v>
      </c>
      <c r="F133" s="302"/>
    </row>
    <row r="134" spans="1:7" ht="15.75" hidden="1" customHeight="1">
      <c r="A134" s="35" t="s">
        <v>105</v>
      </c>
      <c r="B134" s="267" t="s">
        <v>106</v>
      </c>
      <c r="C134" s="461"/>
      <c r="D134" s="461"/>
      <c r="E134" s="302" t="e">
        <f t="shared" si="3"/>
        <v>#DIV/0!</v>
      </c>
      <c r="F134" s="302"/>
    </row>
    <row r="135" spans="1:7" ht="20.25" customHeight="1">
      <c r="A135" s="30" t="s">
        <v>107</v>
      </c>
      <c r="B135" s="265" t="s">
        <v>108</v>
      </c>
      <c r="C135" s="296">
        <f>C136</f>
        <v>22</v>
      </c>
      <c r="D135" s="466">
        <f>D136</f>
        <v>22</v>
      </c>
      <c r="E135" s="302">
        <f>SUM(D135/C135*100)</f>
        <v>100</v>
      </c>
      <c r="F135" s="302">
        <f t="shared" si="5"/>
        <v>0</v>
      </c>
    </row>
    <row r="136" spans="1:7" ht="22.5" customHeight="1">
      <c r="A136" s="35" t="s">
        <v>109</v>
      </c>
      <c r="B136" s="267" t="s">
        <v>110</v>
      </c>
      <c r="C136" s="461">
        <v>22</v>
      </c>
      <c r="D136" s="461">
        <v>22</v>
      </c>
      <c r="E136" s="302">
        <f t="shared" si="3"/>
        <v>100</v>
      </c>
      <c r="F136" s="302">
        <f t="shared" si="5"/>
        <v>0</v>
      </c>
    </row>
    <row r="137" spans="1:7" ht="19.5" customHeight="1">
      <c r="A137" s="30" t="s">
        <v>111</v>
      </c>
      <c r="B137" s="268" t="s">
        <v>112</v>
      </c>
      <c r="C137" s="467">
        <f>C138</f>
        <v>0</v>
      </c>
      <c r="D137" s="467">
        <v>0</v>
      </c>
      <c r="E137" s="302"/>
      <c r="F137" s="301">
        <f t="shared" si="5"/>
        <v>0</v>
      </c>
    </row>
    <row r="138" spans="1:7" ht="37.5" customHeight="1">
      <c r="A138" s="35" t="s">
        <v>113</v>
      </c>
      <c r="B138" s="269" t="s">
        <v>114</v>
      </c>
      <c r="C138" s="462">
        <v>0</v>
      </c>
      <c r="D138" s="462">
        <v>0</v>
      </c>
      <c r="E138" s="301"/>
      <c r="F138" s="302">
        <f t="shared" si="5"/>
        <v>0</v>
      </c>
    </row>
    <row r="139" spans="1:7" s="6" customFormat="1" ht="19.5" customHeight="1">
      <c r="A139" s="52">
        <v>1400</v>
      </c>
      <c r="B139" s="274" t="s">
        <v>115</v>
      </c>
      <c r="C139" s="463">
        <f>C140+C141+C142</f>
        <v>37619.419009999998</v>
      </c>
      <c r="D139" s="463">
        <f>D140+D141+D142</f>
        <v>37619.290049999996</v>
      </c>
      <c r="E139" s="301">
        <f t="shared" si="3"/>
        <v>99.999657198320989</v>
      </c>
      <c r="F139" s="301">
        <f t="shared" si="4"/>
        <v>-0.12896000000182539</v>
      </c>
    </row>
    <row r="140" spans="1:7" ht="40.5" customHeight="1">
      <c r="A140" s="53">
        <v>1401</v>
      </c>
      <c r="B140" s="273" t="s">
        <v>116</v>
      </c>
      <c r="C140" s="471">
        <v>28169.9</v>
      </c>
      <c r="D140" s="461">
        <v>28169.9</v>
      </c>
      <c r="E140" s="302">
        <f t="shared" si="3"/>
        <v>100</v>
      </c>
      <c r="F140" s="302">
        <f t="shared" si="4"/>
        <v>0</v>
      </c>
    </row>
    <row r="141" spans="1:7" ht="24.75" customHeight="1">
      <c r="A141" s="53">
        <v>1402</v>
      </c>
      <c r="B141" s="273" t="s">
        <v>117</v>
      </c>
      <c r="C141" s="471">
        <v>6818.6760999999997</v>
      </c>
      <c r="D141" s="461">
        <v>6818.6760999999997</v>
      </c>
      <c r="E141" s="302">
        <f t="shared" si="3"/>
        <v>100</v>
      </c>
      <c r="F141" s="302">
        <f t="shared" si="4"/>
        <v>0</v>
      </c>
    </row>
    <row r="142" spans="1:7" ht="27" customHeight="1">
      <c r="A142" s="53">
        <v>1403</v>
      </c>
      <c r="B142" s="273" t="s">
        <v>118</v>
      </c>
      <c r="C142" s="471">
        <v>2630.8429099999998</v>
      </c>
      <c r="D142" s="461">
        <v>2630.7139499999998</v>
      </c>
      <c r="E142" s="302">
        <f t="shared" si="3"/>
        <v>99.995098148980702</v>
      </c>
      <c r="F142" s="302">
        <f t="shared" si="4"/>
        <v>-0.1289600000000064</v>
      </c>
    </row>
    <row r="143" spans="1:7" s="6" customFormat="1" ht="22.5">
      <c r="A143" s="52"/>
      <c r="B143" s="275" t="s">
        <v>119</v>
      </c>
      <c r="C143" s="458">
        <f>C88+C96+C98+C104+C109+C113+C115+C121+C124+C129+C135+C137+C139</f>
        <v>792105.01062999992</v>
      </c>
      <c r="D143" s="458">
        <f>D88+D96+D98+D104+D109+D113+D115+D121+D124+D129+D135+D137+D139</f>
        <v>754300.04045999993</v>
      </c>
      <c r="E143" s="301">
        <f t="shared" si="3"/>
        <v>95.227277991849618</v>
      </c>
      <c r="F143" s="301">
        <f t="shared" si="4"/>
        <v>-37804.970169999986</v>
      </c>
      <c r="G143" s="94"/>
    </row>
    <row r="144" spans="1:7">
      <c r="C144" s="367"/>
      <c r="D144" s="468"/>
    </row>
    <row r="145" spans="1:4" s="65" customFormat="1" ht="12.75">
      <c r="A145" s="63" t="s">
        <v>120</v>
      </c>
      <c r="B145" s="63"/>
      <c r="C145" s="134"/>
      <c r="D145" s="134"/>
    </row>
    <row r="146" spans="1:4" s="65" customFormat="1" ht="12.75">
      <c r="A146" s="66" t="s">
        <v>121</v>
      </c>
      <c r="B146" s="66"/>
      <c r="C146" s="134" t="s">
        <v>122</v>
      </c>
      <c r="D146" s="134"/>
    </row>
  </sheetData>
  <customSheetViews>
    <customSheetView guid="{487FB2A4-0730-401E-81DB-8304F8599D85}" scale="67" showPageBreaks="1" hiddenRows="1" view="pageBreakPreview">
      <selection activeCell="E137" sqref="E137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1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2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4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5"/>
      <headerFooter alignWithMargins="0"/>
    </customSheetView>
    <customSheetView guid="{B30CE22D-C12F-4E12-8BB9-3AAE0A6991CC}" scale="60" showPageBreaks="1" hiddenRows="1" view="pageBreakPreview" topLeftCell="A74">
      <selection activeCell="D95" sqref="D95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6"/>
      <headerFooter alignWithMargins="0"/>
    </customSheetView>
    <customSheetView guid="{5BFCA170-DEAE-4D2C-98A0-1E68B427AC01}" scale="67" showPageBreaks="1" hiddenRows="1" view="pageBreakPreview">
      <selection activeCell="E137" sqref="E137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7"/>
      <headerFooter alignWithMargins="0"/>
    </customSheetView>
  </customSheetViews>
  <mergeCells count="2">
    <mergeCell ref="A1:F1"/>
    <mergeCell ref="A2:F2"/>
  </mergeCells>
  <phoneticPr fontId="0" type="noConversion"/>
  <pageMargins left="0.59055118110236227" right="0.55118110236220474" top="0.15748031496062992" bottom="0.15748031496062992" header="0.15748031496062992" footer="0.27559055118110237"/>
  <pageSetup paperSize="9" scale="37" orientation="portrait" r:id="rId8"/>
  <headerFooter alignWithMargins="0"/>
  <rowBreaks count="1" manualBreakCount="1"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99"/>
  <sheetViews>
    <sheetView topLeftCell="A43" zoomScaleNormal="100" zoomScaleSheetLayoutView="70" workbookViewId="0">
      <selection activeCell="D76" sqref="D76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16" t="s">
        <v>418</v>
      </c>
      <c r="B1" s="516"/>
      <c r="C1" s="516"/>
      <c r="D1" s="516"/>
      <c r="E1" s="516"/>
      <c r="F1" s="516"/>
    </row>
    <row r="2" spans="1:6">
      <c r="A2" s="516"/>
      <c r="B2" s="516"/>
      <c r="C2" s="516"/>
      <c r="D2" s="516"/>
      <c r="E2" s="516"/>
      <c r="F2" s="516"/>
    </row>
    <row r="3" spans="1:6" ht="63">
      <c r="A3" s="2" t="s">
        <v>1</v>
      </c>
      <c r="B3" s="2" t="s">
        <v>2</v>
      </c>
      <c r="C3" s="72" t="s">
        <v>346</v>
      </c>
      <c r="D3" s="73" t="s">
        <v>419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C5+C7+C12+C14+C17+C20</f>
        <v>546.89</v>
      </c>
      <c r="D4" s="5">
        <f>D5+D12+D14+D17+D20+D7</f>
        <v>541.29717000000005</v>
      </c>
      <c r="E4" s="5">
        <f>SUM(D4/C4*100)</f>
        <v>98.977339135840865</v>
      </c>
      <c r="F4" s="5">
        <f>SUM(D4-C4)</f>
        <v>-5.5928299999999354</v>
      </c>
    </row>
    <row r="5" spans="1:6" s="6" customFormat="1">
      <c r="A5" s="68">
        <v>1010000000</v>
      </c>
      <c r="B5" s="67" t="s">
        <v>6</v>
      </c>
      <c r="C5" s="5">
        <f>C6</f>
        <v>69</v>
      </c>
      <c r="D5" s="5">
        <f>D6</f>
        <v>68.115600000000001</v>
      </c>
      <c r="E5" s="5">
        <f t="shared" ref="E5:E47" si="0">SUM(D5/C5*100)</f>
        <v>98.718260869565228</v>
      </c>
      <c r="F5" s="5">
        <f t="shared" ref="F5:F47" si="1">SUM(D5-C5)</f>
        <v>-0.88439999999999941</v>
      </c>
    </row>
    <row r="6" spans="1:6">
      <c r="A6" s="7">
        <v>1010200001</v>
      </c>
      <c r="B6" s="8" t="s">
        <v>229</v>
      </c>
      <c r="C6" s="9">
        <v>69</v>
      </c>
      <c r="D6" s="10">
        <v>68.115600000000001</v>
      </c>
      <c r="E6" s="9">
        <f t="shared" ref="E6:E11" si="2">SUM(D6/C6*100)</f>
        <v>98.718260869565228</v>
      </c>
      <c r="F6" s="9">
        <f t="shared" si="1"/>
        <v>-0.88439999999999941</v>
      </c>
    </row>
    <row r="7" spans="1:6" ht="31.5">
      <c r="A7" s="3">
        <v>1030000000</v>
      </c>
      <c r="B7" s="13" t="s">
        <v>281</v>
      </c>
      <c r="C7" s="5">
        <f>C8+C10+C9</f>
        <v>219.89</v>
      </c>
      <c r="D7" s="5">
        <f>D8+D10+D9+D11</f>
        <v>234.00439</v>
      </c>
      <c r="E7" s="9">
        <f t="shared" si="2"/>
        <v>106.41884123880124</v>
      </c>
      <c r="F7" s="9">
        <f t="shared" si="1"/>
        <v>14.114390000000014</v>
      </c>
    </row>
    <row r="8" spans="1:6">
      <c r="A8" s="7">
        <v>1030223001</v>
      </c>
      <c r="B8" s="8" t="s">
        <v>283</v>
      </c>
      <c r="C8" s="9">
        <v>82.02</v>
      </c>
      <c r="D8" s="10">
        <v>104.26425</v>
      </c>
      <c r="E8" s="9">
        <f t="shared" si="2"/>
        <v>127.12051938551573</v>
      </c>
      <c r="F8" s="9">
        <f t="shared" si="1"/>
        <v>22.244250000000008</v>
      </c>
    </row>
    <row r="9" spans="1:6">
      <c r="A9" s="7">
        <v>1030224001</v>
      </c>
      <c r="B9" s="8" t="s">
        <v>287</v>
      </c>
      <c r="C9" s="9">
        <v>0.88</v>
      </c>
      <c r="D9" s="10">
        <v>1.00413</v>
      </c>
      <c r="E9" s="9">
        <f t="shared" si="2"/>
        <v>114.10568181818181</v>
      </c>
      <c r="F9" s="9">
        <f t="shared" si="1"/>
        <v>0.12412999999999996</v>
      </c>
    </row>
    <row r="10" spans="1:6">
      <c r="A10" s="7">
        <v>1030225001</v>
      </c>
      <c r="B10" s="8" t="s">
        <v>282</v>
      </c>
      <c r="C10" s="9">
        <v>136.99</v>
      </c>
      <c r="D10" s="10">
        <v>152.09710000000001</v>
      </c>
      <c r="E10" s="9">
        <f t="shared" si="2"/>
        <v>111.02788524709833</v>
      </c>
      <c r="F10" s="9">
        <f t="shared" si="1"/>
        <v>15.107100000000003</v>
      </c>
    </row>
    <row r="11" spans="1:6">
      <c r="A11" s="7">
        <v>1030226001</v>
      </c>
      <c r="B11" s="8" t="s">
        <v>288</v>
      </c>
      <c r="C11" s="9">
        <v>0</v>
      </c>
      <c r="D11" s="10">
        <v>-23.361090000000001</v>
      </c>
      <c r="E11" s="9" t="e">
        <f t="shared" si="2"/>
        <v>#DIV/0!</v>
      </c>
      <c r="F11" s="9">
        <f t="shared" si="1"/>
        <v>-23.361090000000001</v>
      </c>
    </row>
    <row r="12" spans="1:6" s="6" customFormat="1">
      <c r="A12" s="68">
        <v>1050000000</v>
      </c>
      <c r="B12" s="67" t="s">
        <v>7</v>
      </c>
      <c r="C12" s="5">
        <f>C13</f>
        <v>5</v>
      </c>
      <c r="D12" s="5">
        <f>D13</f>
        <v>0</v>
      </c>
      <c r="E12" s="5">
        <f t="shared" si="0"/>
        <v>0</v>
      </c>
      <c r="F12" s="5">
        <f t="shared" si="1"/>
        <v>-5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</v>
      </c>
      <c r="E13" s="9">
        <f t="shared" si="0"/>
        <v>0</v>
      </c>
      <c r="F13" s="9">
        <f t="shared" si="1"/>
        <v>-5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250</v>
      </c>
      <c r="D14" s="5">
        <f>D15+D16</f>
        <v>234.37718000000001</v>
      </c>
      <c r="E14" s="5">
        <f t="shared" si="0"/>
        <v>93.750872000000001</v>
      </c>
      <c r="F14" s="5">
        <f t="shared" si="1"/>
        <v>-15.62281999999999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34.554929999999999</v>
      </c>
      <c r="E15" s="9">
        <f t="shared" si="0"/>
        <v>86.38732499999999</v>
      </c>
      <c r="F15" s="9">
        <f>SUM(D15-C15)</f>
        <v>-5.4450700000000012</v>
      </c>
    </row>
    <row r="16" spans="1:6" ht="15" customHeight="1">
      <c r="A16" s="7">
        <v>1060600000</v>
      </c>
      <c r="B16" s="11" t="s">
        <v>8</v>
      </c>
      <c r="C16" s="9">
        <v>210</v>
      </c>
      <c r="D16" s="10">
        <v>199.82225</v>
      </c>
      <c r="E16" s="9">
        <f t="shared" si="0"/>
        <v>95.153452380952373</v>
      </c>
      <c r="F16" s="9">
        <f t="shared" si="1"/>
        <v>-10.177750000000003</v>
      </c>
    </row>
    <row r="17" spans="1:6" s="6" customFormat="1" ht="15" customHeight="1">
      <c r="A17" s="3">
        <v>1080000000</v>
      </c>
      <c r="B17" s="4" t="s">
        <v>11</v>
      </c>
      <c r="C17" s="5">
        <f>C18</f>
        <v>3</v>
      </c>
      <c r="D17" s="5">
        <f>D18</f>
        <v>4.8</v>
      </c>
      <c r="E17" s="9">
        <f t="shared" si="0"/>
        <v>160</v>
      </c>
      <c r="F17" s="5">
        <f t="shared" si="1"/>
        <v>1.7999999999999998</v>
      </c>
    </row>
    <row r="18" spans="1:6" ht="18.75" customHeight="1">
      <c r="A18" s="7">
        <v>1080402001</v>
      </c>
      <c r="B18" s="8" t="s">
        <v>228</v>
      </c>
      <c r="C18" s="9">
        <v>3</v>
      </c>
      <c r="D18" s="10">
        <v>4.8</v>
      </c>
      <c r="E18" s="9">
        <f t="shared" si="0"/>
        <v>160</v>
      </c>
      <c r="F18" s="9">
        <f t="shared" si="1"/>
        <v>1.7999999999999998</v>
      </c>
    </row>
    <row r="19" spans="1:6" ht="15" hidden="1" customHeight="1">
      <c r="A19" s="7">
        <v>1080714001</v>
      </c>
      <c r="B19" s="8" t="s">
        <v>227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231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C26+C31+C34+C29</f>
        <v>56</v>
      </c>
      <c r="D25" s="5">
        <f>D26+D31+D34+D29</f>
        <v>54.284680000000002</v>
      </c>
      <c r="E25" s="5">
        <f t="shared" si="0"/>
        <v>96.936928571428567</v>
      </c>
      <c r="F25" s="5">
        <f t="shared" si="1"/>
        <v>-1.7153199999999984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56</v>
      </c>
      <c r="D26" s="5">
        <f>D27+D28</f>
        <v>54.284680000000002</v>
      </c>
      <c r="E26" s="5">
        <f t="shared" si="0"/>
        <v>96.936928571428567</v>
      </c>
      <c r="F26" s="5">
        <f t="shared" si="1"/>
        <v>-1.7153199999999984</v>
      </c>
    </row>
    <row r="27" spans="1:6" ht="20.25" customHeight="1">
      <c r="A27" s="16">
        <v>1110502000</v>
      </c>
      <c r="B27" s="17" t="s">
        <v>226</v>
      </c>
      <c r="C27" s="12">
        <v>56</v>
      </c>
      <c r="D27" s="10">
        <v>54.284680000000002</v>
      </c>
      <c r="E27" s="9">
        <f t="shared" si="0"/>
        <v>96.936928571428567</v>
      </c>
      <c r="F27" s="9">
        <f t="shared" si="1"/>
        <v>-1.7153199999999984</v>
      </c>
    </row>
    <row r="28" spans="1:6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9" t="e">
        <f t="shared" si="0"/>
        <v>#DIV/0!</v>
      </c>
      <c r="F29" s="5">
        <f t="shared" si="1"/>
        <v>0</v>
      </c>
    </row>
    <row r="30" spans="1:6" ht="17.25" customHeight="1">
      <c r="A30" s="7">
        <v>1130200000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9.5" customHeight="1">
      <c r="A31" s="70">
        <v>1140000000</v>
      </c>
      <c r="B31" s="71" t="s">
        <v>132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0.2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30.7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135</v>
      </c>
      <c r="C34" s="5">
        <v>0</v>
      </c>
      <c r="D34" s="376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19</v>
      </c>
      <c r="C37" s="127">
        <f>C25+C4</f>
        <v>602.89</v>
      </c>
      <c r="D37" s="127">
        <f>SUM(D4,D25)</f>
        <v>595.58185000000003</v>
      </c>
      <c r="E37" s="5">
        <f t="shared" si="0"/>
        <v>98.787813697357734</v>
      </c>
      <c r="F37" s="5">
        <f t="shared" si="1"/>
        <v>-7.3081499999999551</v>
      </c>
    </row>
    <row r="38" spans="1:11" s="6" customFormat="1">
      <c r="A38" s="3">
        <v>2000000000</v>
      </c>
      <c r="B38" s="4" t="s">
        <v>20</v>
      </c>
      <c r="C38" s="280">
        <f>C39+C40+C41+C42+C43+C44</f>
        <v>2914.8710000000001</v>
      </c>
      <c r="D38" s="280">
        <f>D39+D40+D41+D42+D43+D45</f>
        <v>3045.8111800000001</v>
      </c>
      <c r="E38" s="5">
        <f t="shared" si="0"/>
        <v>104.49214322006017</v>
      </c>
      <c r="F38" s="5">
        <f t="shared" si="1"/>
        <v>130.94018000000005</v>
      </c>
      <c r="G38" s="19"/>
    </row>
    <row r="39" spans="1:11">
      <c r="A39" s="16">
        <v>2021000000</v>
      </c>
      <c r="B39" s="17" t="s">
        <v>21</v>
      </c>
      <c r="C39" s="334">
        <v>1200.0540000000001</v>
      </c>
      <c r="D39" s="20">
        <v>1200.0540000000001</v>
      </c>
      <c r="E39" s="9">
        <f t="shared" si="0"/>
        <v>100</v>
      </c>
      <c r="F39" s="9">
        <f t="shared" si="1"/>
        <v>0</v>
      </c>
    </row>
    <row r="40" spans="1:11">
      <c r="A40" s="16">
        <v>2021500200</v>
      </c>
      <c r="B40" s="17" t="s">
        <v>232</v>
      </c>
      <c r="C40" s="331">
        <v>816.60500000000002</v>
      </c>
      <c r="D40" s="20">
        <v>816.60500000000002</v>
      </c>
      <c r="E40" s="9">
        <f>SUM(D40/C40*100)</f>
        <v>100</v>
      </c>
      <c r="F40" s="9">
        <f>SUM(D40-C40)</f>
        <v>0</v>
      </c>
    </row>
    <row r="41" spans="1:11">
      <c r="A41" s="16">
        <v>2022000000</v>
      </c>
      <c r="B41" s="17" t="s">
        <v>22</v>
      </c>
      <c r="C41" s="331">
        <v>670.45500000000004</v>
      </c>
      <c r="D41" s="10">
        <v>670.45500000000004</v>
      </c>
      <c r="E41" s="9">
        <f t="shared" si="0"/>
        <v>100</v>
      </c>
      <c r="F41" s="9">
        <f t="shared" si="1"/>
        <v>0</v>
      </c>
    </row>
    <row r="42" spans="1:11" ht="19.5" customHeight="1">
      <c r="A42" s="16">
        <v>2023000000</v>
      </c>
      <c r="B42" s="17" t="s">
        <v>23</v>
      </c>
      <c r="C42" s="331">
        <v>87.757000000000005</v>
      </c>
      <c r="D42" s="251">
        <v>87.757000000000005</v>
      </c>
      <c r="E42" s="9">
        <f t="shared" si="0"/>
        <v>100</v>
      </c>
      <c r="F42" s="9">
        <f t="shared" si="1"/>
        <v>0</v>
      </c>
    </row>
    <row r="43" spans="1:11">
      <c r="A43" s="7">
        <v>2070500010</v>
      </c>
      <c r="B43" s="17" t="s">
        <v>359</v>
      </c>
      <c r="C43" s="331">
        <v>140</v>
      </c>
      <c r="D43" s="252">
        <v>273.10777000000002</v>
      </c>
      <c r="E43" s="9">
        <f t="shared" si="0"/>
        <v>195.07697857142858</v>
      </c>
      <c r="F43" s="9">
        <f t="shared" si="1"/>
        <v>133.10777000000002</v>
      </c>
    </row>
    <row r="44" spans="1:11" ht="15.75" hidden="1" customHeight="1">
      <c r="A44" s="16">
        <v>2022999910</v>
      </c>
      <c r="B44" s="18" t="s">
        <v>352</v>
      </c>
      <c r="C44" s="331">
        <v>0</v>
      </c>
      <c r="D44" s="252">
        <v>0</v>
      </c>
      <c r="E44" s="9" t="e">
        <f t="shared" si="0"/>
        <v>#DIV/0!</v>
      </c>
      <c r="F44" s="9">
        <f t="shared" si="1"/>
        <v>0</v>
      </c>
    </row>
    <row r="45" spans="1:11" ht="17.25" customHeight="1">
      <c r="A45" s="7">
        <v>2190000010</v>
      </c>
      <c r="B45" s="11" t="s">
        <v>26</v>
      </c>
      <c r="C45" s="340">
        <v>0</v>
      </c>
      <c r="D45" s="328">
        <v>-2.1675900000000001</v>
      </c>
      <c r="E45" s="5" t="e">
        <f t="shared" si="0"/>
        <v>#DIV/0!</v>
      </c>
      <c r="F45" s="5">
        <f>SUM(D45-C45)</f>
        <v>-2.1675900000000001</v>
      </c>
    </row>
    <row r="46" spans="1:11" s="6" customFormat="1" ht="31.5" hidden="1" customHeight="1">
      <c r="A46" s="3">
        <v>3000000000</v>
      </c>
      <c r="B46" s="13" t="s">
        <v>27</v>
      </c>
      <c r="C46" s="341">
        <v>0</v>
      </c>
      <c r="D46" s="342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3"/>
      <c r="B47" s="4" t="s">
        <v>28</v>
      </c>
      <c r="C47" s="388">
        <f>C37+C38</f>
        <v>3517.761</v>
      </c>
      <c r="D47" s="389">
        <f>D37+D38</f>
        <v>3641.3930300000002</v>
      </c>
      <c r="E47" s="5">
        <f t="shared" si="0"/>
        <v>103.51450908688795</v>
      </c>
      <c r="F47" s="5">
        <f t="shared" si="1"/>
        <v>123.63203000000021</v>
      </c>
      <c r="G47" s="293"/>
      <c r="H47" s="293"/>
      <c r="K47" s="130"/>
    </row>
    <row r="48" spans="1:11" s="6" customFormat="1">
      <c r="A48" s="3"/>
      <c r="B48" s="21" t="s">
        <v>322</v>
      </c>
      <c r="C48" s="388">
        <f>C47-C93</f>
        <v>-23.635539999999764</v>
      </c>
      <c r="D48" s="388">
        <f>D47-D93</f>
        <v>175.19439000000102</v>
      </c>
      <c r="E48" s="22"/>
      <c r="F48" s="22"/>
    </row>
    <row r="49" spans="1:6">
      <c r="A49" s="23"/>
      <c r="B49" s="24"/>
      <c r="C49" s="250"/>
      <c r="D49" s="250"/>
      <c r="E49" s="26"/>
      <c r="F49" s="92"/>
    </row>
    <row r="50" spans="1:6" ht="50.25" customHeight="1">
      <c r="A50" s="28" t="s">
        <v>1</v>
      </c>
      <c r="B50" s="28" t="s">
        <v>29</v>
      </c>
      <c r="C50" s="243" t="s">
        <v>346</v>
      </c>
      <c r="D50" s="244" t="s">
        <v>415</v>
      </c>
      <c r="E50" s="72" t="s">
        <v>3</v>
      </c>
      <c r="F50" s="74" t="s">
        <v>4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30</v>
      </c>
      <c r="B52" s="31" t="s">
        <v>31</v>
      </c>
      <c r="C52" s="410">
        <f>C54+C57+C58+C59</f>
        <v>1106.854</v>
      </c>
      <c r="D52" s="430">
        <f>D54+D57+D58+D59</f>
        <v>1081.54405</v>
      </c>
      <c r="E52" s="34">
        <f>SUM(D52/C52*100)</f>
        <v>97.713343403917762</v>
      </c>
      <c r="F52" s="34">
        <f>SUM(D52-C52)</f>
        <v>-25.309950000000072</v>
      </c>
    </row>
    <row r="53" spans="1:6" s="6" customFormat="1" ht="31.5" hidden="1">
      <c r="A53" s="35" t="s">
        <v>32</v>
      </c>
      <c r="B53" s="36" t="s">
        <v>33</v>
      </c>
      <c r="C53" s="411"/>
      <c r="D53" s="431"/>
      <c r="E53" s="38"/>
      <c r="F53" s="38"/>
    </row>
    <row r="54" spans="1:6" ht="16.5" customHeight="1">
      <c r="A54" s="35" t="s">
        <v>34</v>
      </c>
      <c r="B54" s="39" t="s">
        <v>35</v>
      </c>
      <c r="C54" s="411">
        <v>1103.472</v>
      </c>
      <c r="D54" s="431">
        <v>1079.16255</v>
      </c>
      <c r="E54" s="38">
        <f>SUM(D54/C54*100)</f>
        <v>97.797003458175652</v>
      </c>
      <c r="F54" s="38">
        <f t="shared" ref="F54:F93" si="3">SUM(D54-C54)</f>
        <v>-24.30944999999997</v>
      </c>
    </row>
    <row r="55" spans="1:6" ht="0.75" hidden="1" customHeight="1">
      <c r="A55" s="35" t="s">
        <v>36</v>
      </c>
      <c r="B55" s="39" t="s">
        <v>37</v>
      </c>
      <c r="C55" s="411"/>
      <c r="D55" s="431"/>
      <c r="E55" s="38"/>
      <c r="F55" s="38">
        <f t="shared" si="3"/>
        <v>0</v>
      </c>
    </row>
    <row r="56" spans="1:6" ht="15.75" hidden="1" customHeight="1">
      <c r="A56" s="35" t="s">
        <v>38</v>
      </c>
      <c r="B56" s="39" t="s">
        <v>39</v>
      </c>
      <c r="C56" s="411"/>
      <c r="D56" s="431"/>
      <c r="E56" s="38" t="e">
        <f t="shared" ref="E56:E93" si="4">SUM(D56/C56*100)</f>
        <v>#DIV/0!</v>
      </c>
      <c r="F56" s="38">
        <f t="shared" si="3"/>
        <v>0</v>
      </c>
    </row>
    <row r="57" spans="1:6" ht="14.25" customHeight="1">
      <c r="A57" s="35" t="s">
        <v>40</v>
      </c>
      <c r="B57" s="39" t="s">
        <v>41</v>
      </c>
      <c r="C57" s="411">
        <v>0</v>
      </c>
      <c r="D57" s="431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42</v>
      </c>
      <c r="B58" s="39" t="s">
        <v>43</v>
      </c>
      <c r="C58" s="412">
        <v>1</v>
      </c>
      <c r="D58" s="432">
        <v>0</v>
      </c>
      <c r="E58" s="38">
        <f t="shared" si="4"/>
        <v>0</v>
      </c>
      <c r="F58" s="38">
        <f t="shared" si="3"/>
        <v>-1</v>
      </c>
    </row>
    <row r="59" spans="1:6" ht="17.25" customHeight="1">
      <c r="A59" s="35" t="s">
        <v>44</v>
      </c>
      <c r="B59" s="39" t="s">
        <v>45</v>
      </c>
      <c r="C59" s="411">
        <v>2.3820000000000001</v>
      </c>
      <c r="D59" s="431">
        <v>2.3815</v>
      </c>
      <c r="E59" s="38">
        <f t="shared" si="4"/>
        <v>99.979009235936175</v>
      </c>
      <c r="F59" s="38">
        <f t="shared" si="3"/>
        <v>-5.0000000000016698E-4</v>
      </c>
    </row>
    <row r="60" spans="1:6" s="6" customFormat="1">
      <c r="A60" s="41" t="s">
        <v>46</v>
      </c>
      <c r="B60" s="42" t="s">
        <v>47</v>
      </c>
      <c r="C60" s="410">
        <f>C61</f>
        <v>85.376999999999995</v>
      </c>
      <c r="D60" s="430">
        <f>D61</f>
        <v>85.376999999999995</v>
      </c>
      <c r="E60" s="34">
        <f t="shared" si="4"/>
        <v>100</v>
      </c>
      <c r="F60" s="34">
        <f t="shared" si="3"/>
        <v>0</v>
      </c>
    </row>
    <row r="61" spans="1:6">
      <c r="A61" s="43" t="s">
        <v>48</v>
      </c>
      <c r="B61" s="44" t="s">
        <v>49</v>
      </c>
      <c r="C61" s="411">
        <v>85.376999999999995</v>
      </c>
      <c r="D61" s="431">
        <v>85.376999999999995</v>
      </c>
      <c r="E61" s="38">
        <f t="shared" si="4"/>
        <v>100</v>
      </c>
      <c r="F61" s="38">
        <f t="shared" si="3"/>
        <v>0</v>
      </c>
    </row>
    <row r="62" spans="1:6" s="6" customFormat="1" ht="16.5" customHeight="1">
      <c r="A62" s="30" t="s">
        <v>50</v>
      </c>
      <c r="B62" s="31" t="s">
        <v>51</v>
      </c>
      <c r="C62" s="410">
        <f>C65+C66</f>
        <v>11.731</v>
      </c>
      <c r="D62" s="430">
        <f>D65+D66</f>
        <v>9.8558299999999992</v>
      </c>
      <c r="E62" s="34">
        <f t="shared" si="4"/>
        <v>84.015258716221979</v>
      </c>
      <c r="F62" s="34">
        <f t="shared" si="3"/>
        <v>-1.8751700000000007</v>
      </c>
    </row>
    <row r="63" spans="1:6" ht="13.5" hidden="1" customHeight="1">
      <c r="A63" s="35" t="s">
        <v>52</v>
      </c>
      <c r="B63" s="39" t="s">
        <v>53</v>
      </c>
      <c r="C63" s="411"/>
      <c r="D63" s="431"/>
      <c r="E63" s="34" t="e">
        <f t="shared" si="4"/>
        <v>#DIV/0!</v>
      </c>
      <c r="F63" s="34">
        <f t="shared" si="3"/>
        <v>0</v>
      </c>
    </row>
    <row r="64" spans="1:6" hidden="1">
      <c r="A64" s="45" t="s">
        <v>54</v>
      </c>
      <c r="B64" s="39" t="s">
        <v>55</v>
      </c>
      <c r="C64" s="411"/>
      <c r="D64" s="431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56</v>
      </c>
      <c r="B65" s="47" t="s">
        <v>57</v>
      </c>
      <c r="C65" s="411">
        <v>2.9</v>
      </c>
      <c r="D65" s="431">
        <v>2.80287</v>
      </c>
      <c r="E65" s="34">
        <f t="shared" si="4"/>
        <v>96.650689655172414</v>
      </c>
      <c r="F65" s="34">
        <f t="shared" si="3"/>
        <v>-9.7129999999999939E-2</v>
      </c>
    </row>
    <row r="66" spans="1:7" ht="15.75" customHeight="1">
      <c r="A66" s="46" t="s">
        <v>219</v>
      </c>
      <c r="B66" s="47" t="s">
        <v>220</v>
      </c>
      <c r="C66" s="411">
        <v>8.8309999999999995</v>
      </c>
      <c r="D66" s="431">
        <v>7.0529599999999997</v>
      </c>
      <c r="E66" s="38">
        <f t="shared" si="4"/>
        <v>79.865926848601518</v>
      </c>
      <c r="F66" s="38">
        <f t="shared" si="3"/>
        <v>-1.7780399999999998</v>
      </c>
    </row>
    <row r="67" spans="1:7" s="6" customFormat="1">
      <c r="A67" s="30" t="s">
        <v>58</v>
      </c>
      <c r="B67" s="31" t="s">
        <v>59</v>
      </c>
      <c r="C67" s="224">
        <f>C70+C71+C68+C69</f>
        <v>1139.57754</v>
      </c>
      <c r="D67" s="433">
        <f>D70+D71+D68+D69</f>
        <v>1092.1074899999999</v>
      </c>
      <c r="E67" s="34">
        <f t="shared" si="4"/>
        <v>95.834416848896467</v>
      </c>
      <c r="F67" s="34">
        <f t="shared" si="3"/>
        <v>-47.470050000000128</v>
      </c>
    </row>
    <row r="68" spans="1:7" ht="16.5" customHeight="1">
      <c r="A68" s="35" t="s">
        <v>60</v>
      </c>
      <c r="B68" s="39" t="s">
        <v>61</v>
      </c>
      <c r="C68" s="413">
        <v>5</v>
      </c>
      <c r="D68" s="431">
        <v>5</v>
      </c>
      <c r="E68" s="38">
        <f t="shared" si="4"/>
        <v>100</v>
      </c>
      <c r="F68" s="38">
        <f t="shared" si="3"/>
        <v>0</v>
      </c>
    </row>
    <row r="69" spans="1:7" s="6" customFormat="1">
      <c r="A69" s="35" t="s">
        <v>62</v>
      </c>
      <c r="B69" s="39" t="s">
        <v>63</v>
      </c>
      <c r="C69" s="413">
        <v>71.165000000000006</v>
      </c>
      <c r="D69" s="431">
        <v>71.163409999999999</v>
      </c>
      <c r="E69" s="38">
        <f t="shared" si="4"/>
        <v>99.997765755638284</v>
      </c>
      <c r="F69" s="38">
        <f t="shared" si="3"/>
        <v>-1.5900000000073078E-3</v>
      </c>
      <c r="G69" s="50"/>
    </row>
    <row r="70" spans="1:7" ht="15.75" customHeight="1">
      <c r="A70" s="35" t="s">
        <v>64</v>
      </c>
      <c r="B70" s="39" t="s">
        <v>65</v>
      </c>
      <c r="C70" s="415">
        <v>1063.41254</v>
      </c>
      <c r="D70" s="431">
        <v>1015.94408</v>
      </c>
      <c r="E70" s="38">
        <f t="shared" si="4"/>
        <v>95.536214007782903</v>
      </c>
      <c r="F70" s="38">
        <f t="shared" si="3"/>
        <v>-47.46846000000005</v>
      </c>
    </row>
    <row r="71" spans="1:7">
      <c r="A71" s="35" t="s">
        <v>66</v>
      </c>
      <c r="B71" s="39" t="s">
        <v>67</v>
      </c>
      <c r="C71" s="413"/>
      <c r="D71" s="431">
        <v>0</v>
      </c>
      <c r="E71" s="38" t="e">
        <f t="shared" si="4"/>
        <v>#DIV/0!</v>
      </c>
      <c r="F71" s="38">
        <f t="shared" si="3"/>
        <v>0</v>
      </c>
    </row>
    <row r="72" spans="1:7" s="6" customFormat="1" ht="18" customHeight="1">
      <c r="A72" s="30" t="s">
        <v>68</v>
      </c>
      <c r="B72" s="31" t="s">
        <v>69</v>
      </c>
      <c r="C72" s="410">
        <f>C75</f>
        <v>328.50700000000001</v>
      </c>
      <c r="D72" s="430">
        <f>D75</f>
        <v>328.31826999999998</v>
      </c>
      <c r="E72" s="34">
        <f t="shared" si="4"/>
        <v>99.942549169424083</v>
      </c>
      <c r="F72" s="34">
        <f t="shared" si="3"/>
        <v>-0.18873000000002094</v>
      </c>
    </row>
    <row r="73" spans="1:7" ht="0.75" hidden="1" customHeight="1">
      <c r="A73" s="35" t="s">
        <v>70</v>
      </c>
      <c r="B73" s="51" t="s">
        <v>71</v>
      </c>
      <c r="C73" s="411"/>
      <c r="D73" s="431"/>
      <c r="E73" s="38" t="e">
        <f t="shared" si="4"/>
        <v>#DIV/0!</v>
      </c>
      <c r="F73" s="38">
        <f t="shared" si="3"/>
        <v>0</v>
      </c>
    </row>
    <row r="74" spans="1:7" hidden="1">
      <c r="A74" s="35" t="s">
        <v>72</v>
      </c>
      <c r="B74" s="51" t="s">
        <v>73</v>
      </c>
      <c r="C74" s="411"/>
      <c r="D74" s="431"/>
      <c r="E74" s="38" t="e">
        <f t="shared" si="4"/>
        <v>#DIV/0!</v>
      </c>
      <c r="F74" s="38">
        <f t="shared" si="3"/>
        <v>0</v>
      </c>
    </row>
    <row r="75" spans="1:7" ht="16.5" customHeight="1">
      <c r="A75" s="35" t="s">
        <v>74</v>
      </c>
      <c r="B75" s="39" t="s">
        <v>75</v>
      </c>
      <c r="C75" s="411">
        <v>328.50700000000001</v>
      </c>
      <c r="D75" s="431">
        <v>328.31826999999998</v>
      </c>
      <c r="E75" s="38">
        <f t="shared" si="4"/>
        <v>99.942549169424083</v>
      </c>
      <c r="F75" s="38">
        <f t="shared" si="3"/>
        <v>-0.18873000000002094</v>
      </c>
    </row>
    <row r="76" spans="1:7" s="6" customFormat="1">
      <c r="A76" s="30" t="s">
        <v>86</v>
      </c>
      <c r="B76" s="31" t="s">
        <v>87</v>
      </c>
      <c r="C76" s="410">
        <f>C77</f>
        <v>865.5</v>
      </c>
      <c r="D76" s="430">
        <f>D77</f>
        <v>865.14599999999996</v>
      </c>
      <c r="E76" s="34">
        <f t="shared" si="4"/>
        <v>99.95909878682842</v>
      </c>
      <c r="F76" s="34">
        <f t="shared" si="3"/>
        <v>-0.35400000000004184</v>
      </c>
    </row>
    <row r="77" spans="1:7" ht="14.25" customHeight="1">
      <c r="A77" s="35" t="s">
        <v>88</v>
      </c>
      <c r="B77" s="39" t="s">
        <v>234</v>
      </c>
      <c r="C77" s="411">
        <v>865.5</v>
      </c>
      <c r="D77" s="431">
        <v>865.14599999999996</v>
      </c>
      <c r="E77" s="38">
        <f t="shared" si="4"/>
        <v>99.95909878682842</v>
      </c>
      <c r="F77" s="38">
        <f t="shared" si="3"/>
        <v>-0.35400000000004184</v>
      </c>
    </row>
    <row r="78" spans="1:7" s="6" customFormat="1" ht="0.75" hidden="1" customHeight="1">
      <c r="A78" s="52">
        <v>1000</v>
      </c>
      <c r="B78" s="31" t="s">
        <v>89</v>
      </c>
      <c r="C78" s="32"/>
      <c r="D78" s="32"/>
      <c r="E78" s="34" t="e">
        <f t="shared" si="4"/>
        <v>#DIV/0!</v>
      </c>
      <c r="F78" s="34">
        <f t="shared" si="3"/>
        <v>0</v>
      </c>
    </row>
    <row r="79" spans="1:7" ht="16.5" hidden="1" customHeight="1">
      <c r="A79" s="53">
        <v>1001</v>
      </c>
      <c r="B79" s="54" t="s">
        <v>90</v>
      </c>
      <c r="C79" s="37"/>
      <c r="D79" s="37"/>
      <c r="E79" s="38" t="e">
        <f t="shared" si="4"/>
        <v>#DIV/0!</v>
      </c>
      <c r="F79" s="38">
        <f t="shared" si="3"/>
        <v>0</v>
      </c>
    </row>
    <row r="80" spans="1:7" ht="15.75" hidden="1" customHeight="1">
      <c r="A80" s="53">
        <v>1003</v>
      </c>
      <c r="B80" s="54" t="s">
        <v>91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7" ht="16.5" hidden="1" customHeight="1">
      <c r="A81" s="53">
        <v>1004</v>
      </c>
      <c r="B81" s="54" t="s">
        <v>92</v>
      </c>
      <c r="C81" s="37"/>
      <c r="D81" s="55"/>
      <c r="E81" s="38" t="e">
        <f t="shared" si="4"/>
        <v>#DIV/0!</v>
      </c>
      <c r="F81" s="38">
        <f t="shared" si="3"/>
        <v>0</v>
      </c>
    </row>
    <row r="82" spans="1:7" ht="0.75" hidden="1" customHeight="1">
      <c r="A82" s="35" t="s">
        <v>93</v>
      </c>
      <c r="B82" s="39" t="s">
        <v>94</v>
      </c>
      <c r="C82" s="37"/>
      <c r="D82" s="37"/>
      <c r="E82" s="38"/>
      <c r="F82" s="38">
        <f t="shared" si="3"/>
        <v>0</v>
      </c>
    </row>
    <row r="83" spans="1:7" ht="12" customHeight="1">
      <c r="A83" s="30" t="s">
        <v>95</v>
      </c>
      <c r="B83" s="31" t="s">
        <v>96</v>
      </c>
      <c r="C83" s="32">
        <f>C84</f>
        <v>3.85</v>
      </c>
      <c r="D83" s="32">
        <f>D84</f>
        <v>3.85</v>
      </c>
      <c r="E83" s="38">
        <f t="shared" si="4"/>
        <v>100</v>
      </c>
      <c r="F83" s="22">
        <f>F84+F85+F86+F87+F88</f>
        <v>0</v>
      </c>
    </row>
    <row r="84" spans="1:7" ht="11.25" customHeight="1">
      <c r="A84" s="35" t="s">
        <v>97</v>
      </c>
      <c r="B84" s="39" t="s">
        <v>98</v>
      </c>
      <c r="C84" s="37">
        <v>3.85</v>
      </c>
      <c r="D84" s="37">
        <v>3.85</v>
      </c>
      <c r="E84" s="38">
        <v>0</v>
      </c>
      <c r="F84" s="38">
        <f>SUM(D84-C84)</f>
        <v>0</v>
      </c>
    </row>
    <row r="85" spans="1:7" ht="14.25" customHeight="1">
      <c r="A85" s="35" t="s">
        <v>99</v>
      </c>
      <c r="B85" s="39" t="s">
        <v>100</v>
      </c>
      <c r="C85" s="37"/>
      <c r="D85" s="37"/>
      <c r="E85" s="38" t="e">
        <f t="shared" si="4"/>
        <v>#DIV/0!</v>
      </c>
      <c r="F85" s="38">
        <f>SUM(D85-C85)</f>
        <v>0</v>
      </c>
    </row>
    <row r="86" spans="1:7" ht="15.75" hidden="1" customHeight="1">
      <c r="A86" s="35" t="s">
        <v>101</v>
      </c>
      <c r="B86" s="39" t="s">
        <v>102</v>
      </c>
      <c r="C86" s="37"/>
      <c r="D86" s="37"/>
      <c r="E86" s="38" t="e">
        <f t="shared" si="4"/>
        <v>#DIV/0!</v>
      </c>
      <c r="F86" s="38"/>
    </row>
    <row r="87" spans="1:7" ht="9.75" hidden="1" customHeight="1">
      <c r="A87" s="35" t="s">
        <v>103</v>
      </c>
      <c r="B87" s="39" t="s">
        <v>104</v>
      </c>
      <c r="C87" s="37"/>
      <c r="D87" s="37"/>
      <c r="E87" s="38" t="e">
        <f t="shared" si="4"/>
        <v>#DIV/0!</v>
      </c>
      <c r="F87" s="38"/>
    </row>
    <row r="88" spans="1:7" ht="11.25" hidden="1" customHeight="1">
      <c r="A88" s="35" t="s">
        <v>105</v>
      </c>
      <c r="B88" s="39" t="s">
        <v>106</v>
      </c>
      <c r="C88" s="37"/>
      <c r="D88" s="37"/>
      <c r="E88" s="38" t="e">
        <f t="shared" si="4"/>
        <v>#DIV/0!</v>
      </c>
      <c r="F88" s="38"/>
    </row>
    <row r="89" spans="1:7" s="6" customFormat="1" ht="17.25" customHeight="1">
      <c r="A89" s="52">
        <v>1400</v>
      </c>
      <c r="B89" s="56" t="s">
        <v>115</v>
      </c>
      <c r="C89" s="48">
        <v>0</v>
      </c>
      <c r="D89" s="48">
        <f>SUM(D90:D92)</f>
        <v>0</v>
      </c>
      <c r="E89" s="34" t="e">
        <f t="shared" si="4"/>
        <v>#DIV/0!</v>
      </c>
      <c r="F89" s="34">
        <f t="shared" si="3"/>
        <v>0</v>
      </c>
    </row>
    <row r="90" spans="1:7" ht="18.75" customHeight="1">
      <c r="A90" s="53">
        <v>1401</v>
      </c>
      <c r="B90" s="54" t="s">
        <v>116</v>
      </c>
      <c r="C90" s="49"/>
      <c r="D90" s="37"/>
      <c r="E90" s="38" t="e">
        <f t="shared" si="4"/>
        <v>#DIV/0!</v>
      </c>
      <c r="F90" s="38">
        <f t="shared" si="3"/>
        <v>0</v>
      </c>
    </row>
    <row r="91" spans="1:7" ht="15.75" customHeight="1">
      <c r="A91" s="53">
        <v>1402</v>
      </c>
      <c r="B91" s="54" t="s">
        <v>117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7" ht="12.75" customHeight="1">
      <c r="A92" s="53">
        <v>1403</v>
      </c>
      <c r="B92" s="54" t="s">
        <v>118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7" s="6" customFormat="1">
      <c r="A93" s="52"/>
      <c r="B93" s="57" t="s">
        <v>119</v>
      </c>
      <c r="C93" s="414">
        <f>C52+C60+C62+C67+C72+C76+C83</f>
        <v>3541.3965399999997</v>
      </c>
      <c r="D93" s="390">
        <f>D52+D60+D62+D67+D72+D76+D78+D83+D89</f>
        <v>3466.1986399999992</v>
      </c>
      <c r="E93" s="128">
        <f t="shared" si="4"/>
        <v>97.876603222750063</v>
      </c>
      <c r="F93" s="34">
        <f t="shared" si="3"/>
        <v>-75.197900000000573</v>
      </c>
      <c r="G93" s="293"/>
    </row>
    <row r="94" spans="1:7">
      <c r="C94" s="126"/>
      <c r="D94" s="101"/>
    </row>
    <row r="95" spans="1:7" s="65" customFormat="1" ht="16.5" customHeight="1">
      <c r="A95" s="63" t="s">
        <v>120</v>
      </c>
      <c r="B95" s="63"/>
      <c r="C95" s="249"/>
      <c r="D95" s="249"/>
    </row>
    <row r="96" spans="1:7" s="65" customFormat="1" ht="20.25" customHeight="1">
      <c r="A96" s="66" t="s">
        <v>121</v>
      </c>
      <c r="B96" s="66"/>
      <c r="C96" s="65" t="s">
        <v>122</v>
      </c>
    </row>
    <row r="97" ht="13.5" customHeight="1"/>
    <row r="99" ht="5.25" customHeight="1"/>
  </sheetData>
  <customSheetViews>
    <customSheetView guid="{487FB2A4-0730-401E-81DB-8304F8599D85}" hiddenRows="1" topLeftCell="A43">
      <selection activeCell="D76" sqref="D76"/>
      <pageMargins left="0.75" right="0.75" top="0.18" bottom="0.17" header="0.5" footer="0.25"/>
      <pageSetup paperSize="9" scale="63" orientation="portrait" r:id="rId1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2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3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4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B30CE22D-C12F-4E12-8BB9-3AAE0A6991CC}" scale="70" showPageBreaks="1" hiddenRows="1" view="pageBreakPreview" topLeftCell="A25">
      <selection activeCell="D62" sqref="D62"/>
      <pageMargins left="0.74803149606299213" right="0.74803149606299213" top="0.19685039370078741" bottom="0.15748031496062992" header="0.51181102362204722" footer="0.23622047244094491"/>
      <pageSetup paperSize="9" scale="60" orientation="portrait" r:id="rId6"/>
      <headerFooter alignWithMargins="0"/>
    </customSheetView>
    <customSheetView guid="{5BFCA170-DEAE-4D2C-98A0-1E68B427AC01}" showPageBreaks="1" hiddenRows="1" topLeftCell="A43">
      <selection activeCell="D76" sqref="D76"/>
      <pageMargins left="0.75" right="0.75" top="0.18" bottom="0.17" header="0.5" footer="0.25"/>
      <pageSetup paperSize="9" scale="63" orientation="portrait" r:id="rId7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0.18" bottom="0.17" header="0.5" footer="0.25"/>
  <pageSetup paperSize="9" scale="63" orientation="portrait" r:id="rId8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03"/>
  <sheetViews>
    <sheetView topLeftCell="A52" zoomScaleNormal="100" zoomScaleSheetLayoutView="70" workbookViewId="0">
      <selection activeCell="C62" sqref="C62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16" t="s">
        <v>420</v>
      </c>
      <c r="B1" s="516"/>
      <c r="C1" s="516"/>
      <c r="D1" s="516"/>
      <c r="E1" s="516"/>
      <c r="F1" s="516"/>
    </row>
    <row r="2" spans="1:6">
      <c r="A2" s="516"/>
      <c r="B2" s="516"/>
      <c r="C2" s="516"/>
      <c r="D2" s="516"/>
      <c r="E2" s="516"/>
      <c r="F2" s="516"/>
    </row>
    <row r="3" spans="1:6" ht="63">
      <c r="A3" s="2" t="s">
        <v>1</v>
      </c>
      <c r="B3" s="2" t="s">
        <v>2</v>
      </c>
      <c r="C3" s="135" t="s">
        <v>346</v>
      </c>
      <c r="D3" s="73" t="s">
        <v>419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384">
        <f>C5+C12+C14+C17+C7</f>
        <v>2882.0432300000002</v>
      </c>
      <c r="D4" s="384">
        <f>D5+D12+D14+D17+D7</f>
        <v>3189.0126199999995</v>
      </c>
      <c r="E4" s="5">
        <f>SUM(D4/C4*100)</f>
        <v>110.6511028982726</v>
      </c>
      <c r="F4" s="5">
        <f>SUM(D4-C4)</f>
        <v>306.96938999999929</v>
      </c>
    </row>
    <row r="5" spans="1:6" s="6" customFormat="1">
      <c r="A5" s="68">
        <v>1010000000</v>
      </c>
      <c r="B5" s="67" t="s">
        <v>6</v>
      </c>
      <c r="C5" s="384">
        <f>C6</f>
        <v>482.9</v>
      </c>
      <c r="D5" s="384">
        <f>D6</f>
        <v>412.01832999999999</v>
      </c>
      <c r="E5" s="5">
        <f t="shared" ref="E5:E52" si="0">SUM(D5/C5*100)</f>
        <v>85.321667011803697</v>
      </c>
      <c r="F5" s="5">
        <f t="shared" ref="F5:F52" si="1">SUM(D5-C5)</f>
        <v>-70.881669999999986</v>
      </c>
    </row>
    <row r="6" spans="1:6">
      <c r="A6" s="7">
        <v>1010200001</v>
      </c>
      <c r="B6" s="8" t="s">
        <v>229</v>
      </c>
      <c r="C6" s="416">
        <v>482.9</v>
      </c>
      <c r="D6" s="417">
        <v>412.01832999999999</v>
      </c>
      <c r="E6" s="9">
        <f t="shared" ref="E6:E11" si="2">SUM(D6/C6*100)</f>
        <v>85.321667011803697</v>
      </c>
      <c r="F6" s="9">
        <f t="shared" si="1"/>
        <v>-70.881669999999986</v>
      </c>
    </row>
    <row r="7" spans="1:6" ht="31.5">
      <c r="A7" s="3">
        <v>1030000000</v>
      </c>
      <c r="B7" s="13" t="s">
        <v>281</v>
      </c>
      <c r="C7" s="384">
        <f>C8+C10+C9</f>
        <v>602.14323000000002</v>
      </c>
      <c r="D7" s="384">
        <f>D8+D10+D9+D11</f>
        <v>595.23449000000005</v>
      </c>
      <c r="E7" s="5">
        <f t="shared" si="2"/>
        <v>98.852641754354693</v>
      </c>
      <c r="F7" s="5">
        <f t="shared" si="1"/>
        <v>-6.9087399999999661</v>
      </c>
    </row>
    <row r="8" spans="1:6">
      <c r="A8" s="7">
        <v>1030223001</v>
      </c>
      <c r="B8" s="8" t="s">
        <v>283</v>
      </c>
      <c r="C8" s="416">
        <v>208.63</v>
      </c>
      <c r="D8" s="417">
        <v>265.21588000000003</v>
      </c>
      <c r="E8" s="9">
        <f t="shared" si="2"/>
        <v>127.12259981785938</v>
      </c>
      <c r="F8" s="9">
        <f t="shared" si="1"/>
        <v>56.585880000000031</v>
      </c>
    </row>
    <row r="9" spans="1:6">
      <c r="A9" s="7">
        <v>1030224001</v>
      </c>
      <c r="B9" s="8" t="s">
        <v>289</v>
      </c>
      <c r="C9" s="416">
        <v>2.2000000000000002</v>
      </c>
      <c r="D9" s="417">
        <v>2.55423</v>
      </c>
      <c r="E9" s="9">
        <f t="shared" si="2"/>
        <v>116.10136363636363</v>
      </c>
      <c r="F9" s="9">
        <f t="shared" si="1"/>
        <v>0.35422999999999982</v>
      </c>
    </row>
    <row r="10" spans="1:6">
      <c r="A10" s="7">
        <v>1030225001</v>
      </c>
      <c r="B10" s="8" t="s">
        <v>282</v>
      </c>
      <c r="C10" s="416">
        <v>391.31322999999998</v>
      </c>
      <c r="D10" s="417">
        <v>386.88783999999998</v>
      </c>
      <c r="E10" s="9">
        <f t="shared" si="2"/>
        <v>98.869092670339825</v>
      </c>
      <c r="F10" s="9">
        <f t="shared" si="1"/>
        <v>-4.4253899999999931</v>
      </c>
    </row>
    <row r="11" spans="1:6">
      <c r="A11" s="7">
        <v>1030226001</v>
      </c>
      <c r="B11" s="8" t="s">
        <v>291</v>
      </c>
      <c r="C11" s="416">
        <v>0</v>
      </c>
      <c r="D11" s="417">
        <v>-59.423459999999999</v>
      </c>
      <c r="E11" s="9" t="e">
        <f t="shared" si="2"/>
        <v>#DIV/0!</v>
      </c>
      <c r="F11" s="9">
        <f t="shared" si="1"/>
        <v>-59.423459999999999</v>
      </c>
    </row>
    <row r="12" spans="1:6" s="6" customFormat="1">
      <c r="A12" s="68">
        <v>1050000000</v>
      </c>
      <c r="B12" s="67" t="s">
        <v>7</v>
      </c>
      <c r="C12" s="384">
        <f>SUM(C13:C13)</f>
        <v>40</v>
      </c>
      <c r="D12" s="384">
        <f>SUM(D13:D13)</f>
        <v>23.733529999999998</v>
      </c>
      <c r="E12" s="5">
        <f t="shared" si="0"/>
        <v>59.333824999999997</v>
      </c>
      <c r="F12" s="5">
        <f t="shared" si="1"/>
        <v>-16.266470000000002</v>
      </c>
    </row>
    <row r="13" spans="1:6" ht="15.75" customHeight="1">
      <c r="A13" s="7">
        <v>1050300000</v>
      </c>
      <c r="B13" s="11" t="s">
        <v>230</v>
      </c>
      <c r="C13" s="418">
        <v>40</v>
      </c>
      <c r="D13" s="417">
        <v>23.733529999999998</v>
      </c>
      <c r="E13" s="9">
        <f t="shared" si="0"/>
        <v>59.333824999999997</v>
      </c>
      <c r="F13" s="9">
        <f t="shared" si="1"/>
        <v>-16.266470000000002</v>
      </c>
    </row>
    <row r="14" spans="1:6" s="6" customFormat="1" ht="15.75" customHeight="1">
      <c r="A14" s="68">
        <v>1060000000</v>
      </c>
      <c r="B14" s="67" t="s">
        <v>136</v>
      </c>
      <c r="C14" s="384">
        <f>C15+C16</f>
        <v>1745</v>
      </c>
      <c r="D14" s="384">
        <f>D15+D16</f>
        <v>2142.0512699999999</v>
      </c>
      <c r="E14" s="5">
        <f t="shared" si="0"/>
        <v>122.75365444126074</v>
      </c>
      <c r="F14" s="5">
        <f t="shared" si="1"/>
        <v>397.05126999999993</v>
      </c>
    </row>
    <row r="15" spans="1:6" s="6" customFormat="1" ht="15.75" customHeight="1">
      <c r="A15" s="7">
        <v>1060100000</v>
      </c>
      <c r="B15" s="11" t="s">
        <v>9</v>
      </c>
      <c r="C15" s="416">
        <v>495</v>
      </c>
      <c r="D15" s="417">
        <v>1006.23966</v>
      </c>
      <c r="E15" s="5">
        <f t="shared" si="0"/>
        <v>203.2807393939394</v>
      </c>
      <c r="F15" s="9">
        <f>SUM(D15-C15)</f>
        <v>511.23965999999996</v>
      </c>
    </row>
    <row r="16" spans="1:6" ht="15" customHeight="1">
      <c r="A16" s="7">
        <v>1060600000</v>
      </c>
      <c r="B16" s="11" t="s">
        <v>8</v>
      </c>
      <c r="C16" s="416">
        <f>181.7+1068.3</f>
        <v>1250</v>
      </c>
      <c r="D16" s="417">
        <v>1135.81161</v>
      </c>
      <c r="E16" s="5">
        <f t="shared" si="0"/>
        <v>90.864928800000001</v>
      </c>
      <c r="F16" s="9">
        <f t="shared" si="1"/>
        <v>-114.18839000000003</v>
      </c>
    </row>
    <row r="17" spans="1:6" s="6" customFormat="1" ht="18" customHeight="1">
      <c r="A17" s="3">
        <v>1080000000</v>
      </c>
      <c r="B17" s="4" t="s">
        <v>11</v>
      </c>
      <c r="C17" s="384">
        <f>C18</f>
        <v>12</v>
      </c>
      <c r="D17" s="384">
        <f>D18</f>
        <v>15.975</v>
      </c>
      <c r="E17" s="5">
        <f t="shared" si="0"/>
        <v>133.125</v>
      </c>
      <c r="F17" s="5">
        <f t="shared" si="1"/>
        <v>3.9749999999999996</v>
      </c>
    </row>
    <row r="18" spans="1:6" ht="18" customHeight="1">
      <c r="A18" s="7">
        <v>1080400001</v>
      </c>
      <c r="B18" s="8" t="s">
        <v>228</v>
      </c>
      <c r="C18" s="416">
        <v>12</v>
      </c>
      <c r="D18" s="417">
        <v>15.975</v>
      </c>
      <c r="E18" s="9">
        <f t="shared" si="0"/>
        <v>133.125</v>
      </c>
      <c r="F18" s="9">
        <f t="shared" si="1"/>
        <v>3.9749999999999996</v>
      </c>
    </row>
    <row r="19" spans="1:6" ht="0.75" hidden="1" customHeight="1">
      <c r="A19" s="7">
        <v>1080714001</v>
      </c>
      <c r="B19" s="8" t="s">
        <v>12</v>
      </c>
      <c r="C19" s="416"/>
      <c r="D19" s="417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384">
        <f>C21+C22+C23+C24</f>
        <v>0</v>
      </c>
      <c r="D20" s="384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384"/>
      <c r="D21" s="419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384"/>
      <c r="D22" s="419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384"/>
      <c r="D23" s="419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128</v>
      </c>
      <c r="C24" s="384"/>
      <c r="D24" s="419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384">
        <f>C26+C30+C32+C37+C35</f>
        <v>1072</v>
      </c>
      <c r="D25" s="384">
        <f>D26+D30+D32+D35+D37</f>
        <v>1112.38067</v>
      </c>
      <c r="E25" s="5">
        <f t="shared" si="0"/>
        <v>103.76685354477613</v>
      </c>
      <c r="F25" s="5">
        <f t="shared" si="1"/>
        <v>40.380670000000009</v>
      </c>
    </row>
    <row r="26" spans="1:6" s="6" customFormat="1" ht="30.75" customHeight="1">
      <c r="A26" s="68">
        <v>1110000000</v>
      </c>
      <c r="B26" s="69" t="s">
        <v>129</v>
      </c>
      <c r="C26" s="384">
        <f>C28+C29</f>
        <v>286</v>
      </c>
      <c r="D26" s="384">
        <f>D28+D29</f>
        <v>315.76599999999996</v>
      </c>
      <c r="E26" s="5">
        <f t="shared" si="0"/>
        <v>110.4076923076923</v>
      </c>
      <c r="F26" s="5">
        <f t="shared" si="1"/>
        <v>29.765999999999963</v>
      </c>
    </row>
    <row r="27" spans="1:6">
      <c r="A27" s="16">
        <v>1110502501</v>
      </c>
      <c r="B27" s="17" t="s">
        <v>226</v>
      </c>
      <c r="C27" s="418">
        <v>0</v>
      </c>
      <c r="D27" s="417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328</v>
      </c>
      <c r="C28" s="418">
        <v>200</v>
      </c>
      <c r="D28" s="417">
        <v>267.2</v>
      </c>
      <c r="E28" s="9">
        <f t="shared" si="0"/>
        <v>133.6</v>
      </c>
      <c r="F28" s="9">
        <f t="shared" si="1"/>
        <v>67.199999999999989</v>
      </c>
    </row>
    <row r="29" spans="1:6">
      <c r="A29" s="7">
        <v>1110503000</v>
      </c>
      <c r="B29" s="11" t="s">
        <v>225</v>
      </c>
      <c r="C29" s="418">
        <v>86</v>
      </c>
      <c r="D29" s="417">
        <v>48.566000000000003</v>
      </c>
      <c r="E29" s="9">
        <f>SUM(D29/C29*100)</f>
        <v>56.472093023255823</v>
      </c>
      <c r="F29" s="9">
        <f t="shared" si="1"/>
        <v>-37.433999999999997</v>
      </c>
    </row>
    <row r="30" spans="1:6" s="15" customFormat="1" ht="35.25" customHeight="1">
      <c r="A30" s="68">
        <v>1130000000</v>
      </c>
      <c r="B30" s="69" t="s">
        <v>131</v>
      </c>
      <c r="C30" s="384">
        <f>C31</f>
        <v>200</v>
      </c>
      <c r="D30" s="384">
        <f>D31</f>
        <v>205.41467</v>
      </c>
      <c r="E30" s="5">
        <f t="shared" si="0"/>
        <v>102.707335</v>
      </c>
      <c r="F30" s="5">
        <f t="shared" si="1"/>
        <v>5.414670000000001</v>
      </c>
    </row>
    <row r="31" spans="1:6" ht="18" customHeight="1">
      <c r="A31" s="7">
        <v>1130206005</v>
      </c>
      <c r="B31" s="8" t="s">
        <v>224</v>
      </c>
      <c r="C31" s="416">
        <v>200</v>
      </c>
      <c r="D31" s="417">
        <v>205.41467</v>
      </c>
      <c r="E31" s="9">
        <f>SUM(D31/C31*100)</f>
        <v>102.707335</v>
      </c>
      <c r="F31" s="9">
        <f t="shared" si="1"/>
        <v>5.414670000000001</v>
      </c>
    </row>
    <row r="32" spans="1:6" ht="17.25" customHeight="1">
      <c r="A32" s="70">
        <v>1140000000</v>
      </c>
      <c r="B32" s="71" t="s">
        <v>132</v>
      </c>
      <c r="C32" s="384">
        <f>C33+C34</f>
        <v>586</v>
      </c>
      <c r="D32" s="384">
        <f>D33+D34</f>
        <v>591.20000000000005</v>
      </c>
      <c r="E32" s="5">
        <f t="shared" si="0"/>
        <v>100.88737201365188</v>
      </c>
      <c r="F32" s="5">
        <f t="shared" si="1"/>
        <v>5.2000000000000455</v>
      </c>
    </row>
    <row r="33" spans="1:7" ht="19.5" customHeight="1">
      <c r="A33" s="16">
        <v>1140200000</v>
      </c>
      <c r="B33" s="18" t="s">
        <v>133</v>
      </c>
      <c r="C33" s="416">
        <v>586</v>
      </c>
      <c r="D33" s="417">
        <v>591.20000000000005</v>
      </c>
      <c r="E33" s="9">
        <f t="shared" si="0"/>
        <v>100.88737201365188</v>
      </c>
      <c r="F33" s="9">
        <f t="shared" si="1"/>
        <v>5.2000000000000455</v>
      </c>
    </row>
    <row r="34" spans="1:7">
      <c r="A34" s="7">
        <v>1140600000</v>
      </c>
      <c r="B34" s="8" t="s">
        <v>223</v>
      </c>
      <c r="C34" s="416">
        <v>0</v>
      </c>
      <c r="D34" s="417">
        <v>0</v>
      </c>
      <c r="E34" s="9" t="e">
        <f t="shared" si="0"/>
        <v>#DIV/0!</v>
      </c>
      <c r="F34" s="9">
        <f t="shared" si="1"/>
        <v>0</v>
      </c>
    </row>
    <row r="35" spans="1:7">
      <c r="A35" s="100">
        <v>1163305010</v>
      </c>
      <c r="B35" s="13" t="s">
        <v>252</v>
      </c>
      <c r="C35" s="384">
        <f>C36</f>
        <v>0</v>
      </c>
      <c r="D35" s="419">
        <f>D36</f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1163305010</v>
      </c>
      <c r="B36" s="8" t="s">
        <v>268</v>
      </c>
      <c r="C36" s="416">
        <v>0</v>
      </c>
      <c r="D36" s="417">
        <v>0</v>
      </c>
      <c r="E36" s="9" t="e">
        <f t="shared" si="0"/>
        <v>#DIV/0!</v>
      </c>
      <c r="F36" s="9">
        <f t="shared" si="1"/>
        <v>0</v>
      </c>
    </row>
    <row r="37" spans="1:7">
      <c r="A37" s="3">
        <v>1170000000</v>
      </c>
      <c r="B37" s="13" t="s">
        <v>135</v>
      </c>
      <c r="C37" s="384">
        <f>C38+C39</f>
        <v>0</v>
      </c>
      <c r="D37" s="384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18</v>
      </c>
      <c r="C38" s="416">
        <v>0</v>
      </c>
      <c r="D38" s="416"/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221</v>
      </c>
      <c r="C39" s="416">
        <v>0</v>
      </c>
      <c r="D39" s="417"/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19</v>
      </c>
      <c r="C40" s="127">
        <f>SUM(C4,C25)</f>
        <v>3954.0432300000002</v>
      </c>
      <c r="D40" s="127">
        <f>D4+D25</f>
        <v>4301.39329</v>
      </c>
      <c r="E40" s="5">
        <f t="shared" si="0"/>
        <v>108.78468038398255</v>
      </c>
      <c r="F40" s="5">
        <f t="shared" si="1"/>
        <v>347.35005999999976</v>
      </c>
    </row>
    <row r="41" spans="1:7" s="6" customFormat="1" ht="20.25" customHeight="1">
      <c r="A41" s="3">
        <v>2000000000</v>
      </c>
      <c r="B41" s="4" t="s">
        <v>20</v>
      </c>
      <c r="C41" s="381">
        <f>C42+C43+C44+C46+C47+C45+C48</f>
        <v>6483.3090000000002</v>
      </c>
      <c r="D41" s="385">
        <f>D42+D43+D44+D46+D47+D45+D48</f>
        <v>6483.3069700000005</v>
      </c>
      <c r="E41" s="5">
        <f t="shared" si="0"/>
        <v>99.999968688828503</v>
      </c>
      <c r="F41" s="5">
        <f t="shared" si="1"/>
        <v>-2.0299999996495899E-3</v>
      </c>
      <c r="G41" s="19"/>
    </row>
    <row r="42" spans="1:7" ht="19.5" customHeight="1">
      <c r="A42" s="16">
        <v>2021000000</v>
      </c>
      <c r="B42" s="17" t="s">
        <v>21</v>
      </c>
      <c r="C42" s="382">
        <v>3556.511</v>
      </c>
      <c r="D42" s="383">
        <v>3556.511</v>
      </c>
      <c r="E42" s="9">
        <f t="shared" si="0"/>
        <v>100</v>
      </c>
      <c r="F42" s="9">
        <f t="shared" si="1"/>
        <v>0</v>
      </c>
    </row>
    <row r="43" spans="1:7" ht="27.7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 ht="21" customHeight="1">
      <c r="A44" s="16">
        <v>2022000000</v>
      </c>
      <c r="B44" s="17" t="s">
        <v>22</v>
      </c>
      <c r="C44" s="12">
        <v>2343.0859999999998</v>
      </c>
      <c r="D44" s="10">
        <v>2343.0859999999998</v>
      </c>
      <c r="E44" s="9">
        <f t="shared" si="0"/>
        <v>100</v>
      </c>
      <c r="F44" s="9">
        <f t="shared" si="1"/>
        <v>0</v>
      </c>
    </row>
    <row r="45" spans="1:7">
      <c r="A45" s="16">
        <v>2022999910</v>
      </c>
      <c r="B45" s="18" t="s">
        <v>352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23</v>
      </c>
      <c r="C46" s="12">
        <v>174.10900000000001</v>
      </c>
      <c r="D46" s="251">
        <v>174.10900000000001</v>
      </c>
      <c r="E46" s="9">
        <f t="shared" si="0"/>
        <v>100</v>
      </c>
      <c r="F46" s="9">
        <f t="shared" si="1"/>
        <v>0</v>
      </c>
    </row>
    <row r="47" spans="1:7">
      <c r="A47" s="16">
        <v>2020400000</v>
      </c>
      <c r="B47" s="17" t="s">
        <v>24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6.5" customHeight="1">
      <c r="A48" s="7">
        <v>2070500010</v>
      </c>
      <c r="B48" s="17" t="s">
        <v>353</v>
      </c>
      <c r="C48" s="12">
        <v>409.60300000000001</v>
      </c>
      <c r="D48" s="252">
        <v>409.60097000000002</v>
      </c>
      <c r="E48" s="9">
        <f t="shared" si="0"/>
        <v>99.99950439816115</v>
      </c>
      <c r="F48" s="9">
        <f t="shared" si="1"/>
        <v>-2.0299999999906504E-3</v>
      </c>
    </row>
    <row r="49" spans="1:8" ht="47.25" hidden="1">
      <c r="A49" s="16">
        <v>2020900000</v>
      </c>
      <c r="B49" s="18" t="s">
        <v>25</v>
      </c>
      <c r="C49" s="12"/>
      <c r="D49" s="252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26</v>
      </c>
      <c r="C50" s="14">
        <v>0</v>
      </c>
      <c r="D50" s="14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27</v>
      </c>
      <c r="C51" s="122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28</v>
      </c>
      <c r="C52" s="384">
        <f>SUM(C40,C41,C51)</f>
        <v>10437.35223</v>
      </c>
      <c r="D52" s="392">
        <f>D40+D41</f>
        <v>10784.700260000001</v>
      </c>
      <c r="E52" s="5">
        <f t="shared" si="0"/>
        <v>103.32793243291742</v>
      </c>
      <c r="F52" s="5">
        <f t="shared" si="1"/>
        <v>347.34803000000102</v>
      </c>
      <c r="G52" s="94"/>
      <c r="H52" s="94"/>
    </row>
    <row r="53" spans="1:8" s="6" customFormat="1">
      <c r="A53" s="3"/>
      <c r="B53" s="21" t="s">
        <v>321</v>
      </c>
      <c r="C53" s="343">
        <f>C52-C100</f>
        <v>-101.57055000000037</v>
      </c>
      <c r="D53" s="343">
        <f>D52-D100</f>
        <v>949.44489000000249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1</v>
      </c>
      <c r="B55" s="28" t="s">
        <v>29</v>
      </c>
      <c r="C55" s="146" t="s">
        <v>346</v>
      </c>
      <c r="D55" s="147" t="s">
        <v>435</v>
      </c>
      <c r="E55" s="72" t="s">
        <v>3</v>
      </c>
      <c r="F55" s="74" t="s">
        <v>4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30</v>
      </c>
      <c r="B57" s="31" t="s">
        <v>31</v>
      </c>
      <c r="C57" s="102">
        <f>C58+C59+C60+C61+C62+C64+C63</f>
        <v>1883.0240000000001</v>
      </c>
      <c r="D57" s="102">
        <f>D58+D59+D60+D61+D62+D64+D63</f>
        <v>1729.4052799999999</v>
      </c>
      <c r="E57" s="34">
        <f>SUM(D57/C57*100)</f>
        <v>91.841913857709727</v>
      </c>
      <c r="F57" s="34">
        <f>SUM(D57-C57)</f>
        <v>-153.61872000000017</v>
      </c>
    </row>
    <row r="58" spans="1:8" s="6" customFormat="1" ht="0.75" hidden="1" customHeight="1">
      <c r="A58" s="35" t="s">
        <v>32</v>
      </c>
      <c r="B58" s="36" t="s">
        <v>33</v>
      </c>
      <c r="C58" s="92"/>
      <c r="D58" s="92"/>
      <c r="E58" s="38"/>
      <c r="F58" s="38"/>
    </row>
    <row r="59" spans="1:8" ht="16.5" customHeight="1">
      <c r="A59" s="35" t="s">
        <v>34</v>
      </c>
      <c r="B59" s="39" t="s">
        <v>35</v>
      </c>
      <c r="C59" s="148">
        <v>1871.9570000000001</v>
      </c>
      <c r="D59" s="92">
        <v>1723.3382799999999</v>
      </c>
      <c r="E59" s="38">
        <f t="shared" ref="E59:E100" si="3">SUM(D59/C59*100)</f>
        <v>92.060783447483033</v>
      </c>
      <c r="F59" s="38">
        <f t="shared" ref="F59:F100" si="4">SUM(D59-C59)</f>
        <v>-148.61872000000017</v>
      </c>
    </row>
    <row r="60" spans="1:8" ht="12.75" hidden="1" customHeight="1">
      <c r="A60" s="35" t="s">
        <v>36</v>
      </c>
      <c r="B60" s="39" t="s">
        <v>37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38</v>
      </c>
      <c r="B61" s="39" t="s">
        <v>39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customHeight="1">
      <c r="A62" s="35" t="s">
        <v>40</v>
      </c>
      <c r="B62" s="39" t="s">
        <v>41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customHeight="1">
      <c r="A63" s="35" t="s">
        <v>42</v>
      </c>
      <c r="B63" s="39" t="s">
        <v>43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44</v>
      </c>
      <c r="B64" s="39" t="s">
        <v>45</v>
      </c>
      <c r="C64" s="92">
        <v>6.0670000000000002</v>
      </c>
      <c r="D64" s="92">
        <v>6.0670000000000002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41" t="s">
        <v>46</v>
      </c>
      <c r="B65" s="42" t="s">
        <v>47</v>
      </c>
      <c r="C65" s="22">
        <f>C66</f>
        <v>170.749</v>
      </c>
      <c r="D65" s="22">
        <f>D66</f>
        <v>170.749</v>
      </c>
      <c r="E65" s="34">
        <f t="shared" si="3"/>
        <v>100</v>
      </c>
      <c r="F65" s="34">
        <f t="shared" si="4"/>
        <v>0</v>
      </c>
    </row>
    <row r="66" spans="1:7">
      <c r="A66" s="43" t="s">
        <v>48</v>
      </c>
      <c r="B66" s="44" t="s">
        <v>49</v>
      </c>
      <c r="C66" s="92">
        <v>170.749</v>
      </c>
      <c r="D66" s="92">
        <v>170.749</v>
      </c>
      <c r="E66" s="38">
        <f t="shared" si="3"/>
        <v>100</v>
      </c>
      <c r="F66" s="38">
        <f t="shared" si="4"/>
        <v>0</v>
      </c>
    </row>
    <row r="67" spans="1:7" s="6" customFormat="1" ht="20.25" customHeight="1">
      <c r="A67" s="30" t="s">
        <v>50</v>
      </c>
      <c r="B67" s="31" t="s">
        <v>51</v>
      </c>
      <c r="C67" s="440">
        <f>C70+C71</f>
        <v>4.8029999999999999</v>
      </c>
      <c r="D67" s="440">
        <f>D70+D71</f>
        <v>2.80287</v>
      </c>
      <c r="E67" s="34">
        <f t="shared" si="3"/>
        <v>58.356652092442218</v>
      </c>
      <c r="F67" s="34">
        <f t="shared" si="4"/>
        <v>-2.00013</v>
      </c>
    </row>
    <row r="68" spans="1:7" ht="0.75" hidden="1" customHeight="1">
      <c r="A68" s="35" t="s">
        <v>52</v>
      </c>
      <c r="B68" s="39" t="s">
        <v>53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54</v>
      </c>
      <c r="B69" s="39" t="s">
        <v>55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2">
        <v>2.8029999999999999</v>
      </c>
      <c r="D70" s="92">
        <v>2.80287</v>
      </c>
      <c r="E70" s="34">
        <f t="shared" si="3"/>
        <v>99.995362112022832</v>
      </c>
      <c r="F70" s="34">
        <f t="shared" si="4"/>
        <v>-1.2999999999996348E-4</v>
      </c>
    </row>
    <row r="71" spans="1:7" ht="15" customHeight="1">
      <c r="A71" s="46" t="s">
        <v>219</v>
      </c>
      <c r="B71" s="47" t="s">
        <v>220</v>
      </c>
      <c r="C71" s="92">
        <v>2</v>
      </c>
      <c r="D71" s="92">
        <v>0</v>
      </c>
      <c r="E71" s="38">
        <f t="shared" si="3"/>
        <v>0</v>
      </c>
      <c r="F71" s="38">
        <f t="shared" si="4"/>
        <v>-2</v>
      </c>
    </row>
    <row r="72" spans="1:7" s="6" customFormat="1" ht="17.25" customHeight="1">
      <c r="A72" s="30" t="s">
        <v>58</v>
      </c>
      <c r="B72" s="31" t="s">
        <v>59</v>
      </c>
      <c r="C72" s="441">
        <f>C74+C75+C76+C73</f>
        <v>3739.5487799999996</v>
      </c>
      <c r="D72" s="105">
        <f>SUM(D73:D76)</f>
        <v>3345.8598699999998</v>
      </c>
      <c r="E72" s="34">
        <f t="shared" si="3"/>
        <v>89.472288418711315</v>
      </c>
      <c r="F72" s="34">
        <f t="shared" si="4"/>
        <v>-393.68890999999985</v>
      </c>
    </row>
    <row r="73" spans="1:7" ht="15.75" customHeight="1">
      <c r="A73" s="35" t="s">
        <v>60</v>
      </c>
      <c r="B73" s="39" t="s">
        <v>61</v>
      </c>
      <c r="C73" s="106">
        <v>7.5</v>
      </c>
      <c r="D73" s="92">
        <v>7.5</v>
      </c>
      <c r="E73" s="38">
        <f t="shared" si="3"/>
        <v>100</v>
      </c>
      <c r="F73" s="38">
        <f t="shared" si="4"/>
        <v>0</v>
      </c>
    </row>
    <row r="74" spans="1:7" s="6" customFormat="1" ht="19.5" customHeight="1">
      <c r="A74" s="35" t="s">
        <v>62</v>
      </c>
      <c r="B74" s="39" t="s">
        <v>63</v>
      </c>
      <c r="C74" s="106">
        <v>1058.6199999999999</v>
      </c>
      <c r="D74" s="92">
        <v>684.73703999999998</v>
      </c>
      <c r="E74" s="38">
        <f t="shared" si="3"/>
        <v>64.682042659311179</v>
      </c>
      <c r="F74" s="38">
        <f t="shared" si="4"/>
        <v>-373.88295999999991</v>
      </c>
      <c r="G74" s="50"/>
    </row>
    <row r="75" spans="1:7">
      <c r="A75" s="35" t="s">
        <v>64</v>
      </c>
      <c r="B75" s="39" t="s">
        <v>65</v>
      </c>
      <c r="C75" s="106">
        <v>2527.9987799999999</v>
      </c>
      <c r="D75" s="92">
        <v>2527.9978299999998</v>
      </c>
      <c r="E75" s="38">
        <f t="shared" si="3"/>
        <v>99.999962420867945</v>
      </c>
      <c r="F75" s="38">
        <f t="shared" si="4"/>
        <v>-9.50000000102591E-4</v>
      </c>
    </row>
    <row r="76" spans="1:7">
      <c r="A76" s="35" t="s">
        <v>66</v>
      </c>
      <c r="B76" s="39" t="s">
        <v>67</v>
      </c>
      <c r="C76" s="106">
        <v>145.43</v>
      </c>
      <c r="D76" s="92">
        <v>125.625</v>
      </c>
      <c r="E76" s="38">
        <f t="shared" si="3"/>
        <v>86.381764422746329</v>
      </c>
      <c r="F76" s="38">
        <f t="shared" si="4"/>
        <v>-19.805000000000007</v>
      </c>
    </row>
    <row r="77" spans="1:7" s="6" customFormat="1" ht="24" customHeight="1">
      <c r="A77" s="30" t="s">
        <v>68</v>
      </c>
      <c r="B77" s="31" t="s">
        <v>69</v>
      </c>
      <c r="C77" s="22">
        <f>SUM(C78:C81)</f>
        <v>951.35</v>
      </c>
      <c r="D77" s="22">
        <f>SUM(D78:D81)</f>
        <v>896.45231999999999</v>
      </c>
      <c r="E77" s="34">
        <f t="shared" si="3"/>
        <v>94.229497030535541</v>
      </c>
      <c r="F77" s="34">
        <f t="shared" si="4"/>
        <v>-54.897680000000037</v>
      </c>
    </row>
    <row r="78" spans="1:7" ht="2.25" hidden="1" customHeight="1">
      <c r="A78" s="35" t="s">
        <v>70</v>
      </c>
      <c r="B78" s="51" t="s">
        <v>71</v>
      </c>
      <c r="C78" s="92">
        <v>0</v>
      </c>
      <c r="D78" s="92">
        <v>0</v>
      </c>
      <c r="E78" s="38" t="e">
        <f t="shared" si="3"/>
        <v>#DIV/0!</v>
      </c>
      <c r="F78" s="38">
        <f t="shared" si="4"/>
        <v>0</v>
      </c>
    </row>
    <row r="79" spans="1:7" ht="17.25" hidden="1" customHeight="1">
      <c r="A79" s="35" t="s">
        <v>72</v>
      </c>
      <c r="B79" s="51" t="s">
        <v>73</v>
      </c>
      <c r="C79" s="92"/>
      <c r="D79" s="92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74</v>
      </c>
      <c r="B80" s="39" t="s">
        <v>75</v>
      </c>
      <c r="C80" s="92">
        <v>951.35</v>
      </c>
      <c r="D80" s="92">
        <v>896.45231999999999</v>
      </c>
      <c r="E80" s="38">
        <f t="shared" si="3"/>
        <v>94.229497030535541</v>
      </c>
      <c r="F80" s="38">
        <f t="shared" si="4"/>
        <v>-54.897680000000037</v>
      </c>
    </row>
    <row r="81" spans="1:6" ht="18" hidden="1" customHeight="1">
      <c r="A81" s="35" t="s">
        <v>264</v>
      </c>
      <c r="B81" s="39" t="s">
        <v>265</v>
      </c>
      <c r="C81" s="92">
        <v>0</v>
      </c>
      <c r="D81" s="92">
        <v>0</v>
      </c>
      <c r="E81" s="38" t="e">
        <f t="shared" si="3"/>
        <v>#DIV/0!</v>
      </c>
      <c r="F81" s="38">
        <f t="shared" si="4"/>
        <v>0</v>
      </c>
    </row>
    <row r="82" spans="1:6" s="6" customFormat="1" ht="16.5" customHeight="1">
      <c r="A82" s="30" t="s">
        <v>86</v>
      </c>
      <c r="B82" s="31" t="s">
        <v>87</v>
      </c>
      <c r="C82" s="22">
        <f>C83+C84</f>
        <v>3764.4479999999999</v>
      </c>
      <c r="D82" s="22">
        <f>D83+D84</f>
        <v>3669.38103</v>
      </c>
      <c r="E82" s="34">
        <f t="shared" si="3"/>
        <v>97.474610620202483</v>
      </c>
      <c r="F82" s="34">
        <f t="shared" si="4"/>
        <v>-95.066969999999856</v>
      </c>
    </row>
    <row r="83" spans="1:6" ht="14.25" customHeight="1">
      <c r="A83" s="35" t="s">
        <v>88</v>
      </c>
      <c r="B83" s="39" t="s">
        <v>234</v>
      </c>
      <c r="C83" s="92">
        <v>3764.4479999999999</v>
      </c>
      <c r="D83" s="92">
        <v>3669.38103</v>
      </c>
      <c r="E83" s="38">
        <f t="shared" si="3"/>
        <v>97.474610620202483</v>
      </c>
      <c r="F83" s="38">
        <f t="shared" si="4"/>
        <v>-95.066969999999856</v>
      </c>
    </row>
    <row r="84" spans="1:6" ht="14.25" customHeight="1">
      <c r="A84" s="35" t="s">
        <v>273</v>
      </c>
      <c r="B84" s="39" t="s">
        <v>274</v>
      </c>
      <c r="C84" s="92"/>
      <c r="D84" s="92">
        <v>0</v>
      </c>
      <c r="E84" s="38" t="e">
        <f t="shared" si="3"/>
        <v>#DIV/0!</v>
      </c>
      <c r="F84" s="38">
        <f t="shared" si="4"/>
        <v>0</v>
      </c>
    </row>
    <row r="85" spans="1:6" s="6" customFormat="1" ht="15" customHeight="1">
      <c r="A85" s="52">
        <v>1000</v>
      </c>
      <c r="B85" s="31" t="s">
        <v>89</v>
      </c>
      <c r="C85" s="22">
        <f>SUM(C86:C89)</f>
        <v>5</v>
      </c>
      <c r="D85" s="22">
        <f>SUM(D86:D89)</f>
        <v>5</v>
      </c>
      <c r="E85" s="34">
        <f t="shared" si="3"/>
        <v>100</v>
      </c>
      <c r="F85" s="34">
        <f t="shared" si="4"/>
        <v>0</v>
      </c>
    </row>
    <row r="86" spans="1:6">
      <c r="A86" s="53">
        <v>1001</v>
      </c>
      <c r="B86" s="54" t="s">
        <v>90</v>
      </c>
      <c r="C86" s="92"/>
      <c r="D86" s="92"/>
      <c r="E86" s="34" t="e">
        <f t="shared" si="3"/>
        <v>#DIV/0!</v>
      </c>
      <c r="F86" s="38">
        <f t="shared" si="4"/>
        <v>0</v>
      </c>
    </row>
    <row r="87" spans="1:6" hidden="1">
      <c r="A87" s="53">
        <v>1003</v>
      </c>
      <c r="B87" s="54" t="s">
        <v>91</v>
      </c>
      <c r="C87" s="92">
        <v>0</v>
      </c>
      <c r="D87" s="92">
        <v>0</v>
      </c>
      <c r="E87" s="34" t="e">
        <f t="shared" si="3"/>
        <v>#DIV/0!</v>
      </c>
      <c r="F87" s="38">
        <f t="shared" si="4"/>
        <v>0</v>
      </c>
    </row>
    <row r="88" spans="1:6" hidden="1">
      <c r="A88" s="53">
        <v>1004</v>
      </c>
      <c r="B88" s="54" t="s">
        <v>92</v>
      </c>
      <c r="C88" s="92"/>
      <c r="D88" s="276"/>
      <c r="E88" s="34" t="e">
        <f t="shared" si="3"/>
        <v>#DIV/0!</v>
      </c>
      <c r="F88" s="38">
        <f t="shared" si="4"/>
        <v>0</v>
      </c>
    </row>
    <row r="89" spans="1:6">
      <c r="A89" s="35" t="s">
        <v>93</v>
      </c>
      <c r="B89" s="39" t="s">
        <v>94</v>
      </c>
      <c r="C89" s="92">
        <v>5</v>
      </c>
      <c r="D89" s="92">
        <v>5</v>
      </c>
      <c r="E89" s="38">
        <f t="shared" si="3"/>
        <v>100</v>
      </c>
      <c r="F89" s="38">
        <f t="shared" si="4"/>
        <v>0</v>
      </c>
    </row>
    <row r="90" spans="1:6" ht="15" customHeight="1">
      <c r="A90" s="30" t="s">
        <v>95</v>
      </c>
      <c r="B90" s="31" t="s">
        <v>96</v>
      </c>
      <c r="C90" s="22">
        <f>C91+C92+C93+C94+C95</f>
        <v>20</v>
      </c>
      <c r="D90" s="22">
        <f>D91+D92+D93+D94+D95</f>
        <v>15.605</v>
      </c>
      <c r="E90" s="34">
        <f t="shared" si="3"/>
        <v>78.025000000000006</v>
      </c>
      <c r="F90" s="22">
        <f>F91+F92+F93+F94+F95</f>
        <v>-4.3949999999999996</v>
      </c>
    </row>
    <row r="91" spans="1:6" ht="15.75" customHeight="1">
      <c r="A91" s="35" t="s">
        <v>97</v>
      </c>
      <c r="B91" s="39" t="s">
        <v>98</v>
      </c>
      <c r="C91" s="92">
        <v>20</v>
      </c>
      <c r="D91" s="92">
        <v>15.605</v>
      </c>
      <c r="E91" s="38">
        <f t="shared" si="3"/>
        <v>78.025000000000006</v>
      </c>
      <c r="F91" s="38">
        <f>SUM(D91-C91)</f>
        <v>-4.3949999999999996</v>
      </c>
    </row>
    <row r="92" spans="1:6" ht="15" hidden="1" customHeight="1">
      <c r="A92" s="35" t="s">
        <v>99</v>
      </c>
      <c r="B92" s="39" t="s">
        <v>100</v>
      </c>
      <c r="C92" s="132"/>
      <c r="D92" s="92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101</v>
      </c>
      <c r="B93" s="39" t="s">
        <v>102</v>
      </c>
      <c r="C93" s="132"/>
      <c r="D93" s="92"/>
      <c r="E93" s="38" t="e">
        <f t="shared" si="3"/>
        <v>#DIV/0!</v>
      </c>
      <c r="F93" s="38"/>
    </row>
    <row r="94" spans="1:6" ht="15" hidden="1" customHeight="1">
      <c r="A94" s="35" t="s">
        <v>103</v>
      </c>
      <c r="B94" s="39" t="s">
        <v>104</v>
      </c>
      <c r="C94" s="132"/>
      <c r="D94" s="92"/>
      <c r="E94" s="38" t="e">
        <f t="shared" si="3"/>
        <v>#DIV/0!</v>
      </c>
      <c r="F94" s="38"/>
    </row>
    <row r="95" spans="1:6" ht="57.75" hidden="1" customHeight="1">
      <c r="A95" s="35" t="s">
        <v>105</v>
      </c>
      <c r="B95" s="39" t="s">
        <v>106</v>
      </c>
      <c r="C95" s="240"/>
      <c r="D95" s="92"/>
      <c r="E95" s="38" t="e">
        <f t="shared" si="3"/>
        <v>#DIV/0!</v>
      </c>
      <c r="F95" s="38"/>
    </row>
    <row r="96" spans="1:6" s="6" customFormat="1" ht="18" hidden="1" customHeight="1">
      <c r="A96" s="52">
        <v>1400</v>
      </c>
      <c r="B96" s="56" t="s">
        <v>115</v>
      </c>
      <c r="C96" s="48"/>
      <c r="D96" s="105"/>
      <c r="E96" s="34" t="e">
        <f t="shared" si="3"/>
        <v>#DIV/0!</v>
      </c>
      <c r="F96" s="34">
        <f t="shared" si="4"/>
        <v>0</v>
      </c>
    </row>
    <row r="97" spans="1:7" ht="16.5" customHeight="1">
      <c r="A97" s="53">
        <v>1401</v>
      </c>
      <c r="B97" s="54" t="s">
        <v>116</v>
      </c>
      <c r="C97" s="106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7" ht="20.25" customHeight="1">
      <c r="A98" s="53">
        <v>1402</v>
      </c>
      <c r="B98" s="54" t="s">
        <v>117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7" ht="13.5" customHeight="1">
      <c r="A99" s="53">
        <v>1403</v>
      </c>
      <c r="B99" s="54" t="s">
        <v>118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7" s="6" customFormat="1" ht="15" customHeight="1">
      <c r="A100" s="52"/>
      <c r="B100" s="57" t="s">
        <v>119</v>
      </c>
      <c r="C100" s="393">
        <f>C57+C65+C67+C72+C77+C82+C90+C85+C96</f>
        <v>10538.922780000001</v>
      </c>
      <c r="D100" s="393">
        <f>D57+D65+D67+D72+D77+D82+D90+D85+D96</f>
        <v>9835.2553699999989</v>
      </c>
      <c r="E100" s="34">
        <f t="shared" si="3"/>
        <v>93.323156221095289</v>
      </c>
      <c r="F100" s="34">
        <f t="shared" si="4"/>
        <v>-703.66741000000184</v>
      </c>
      <c r="G100" s="94"/>
    </row>
    <row r="101" spans="1:7" ht="5.25" customHeight="1">
      <c r="D101" s="61"/>
    </row>
    <row r="102" spans="1:7" s="65" customFormat="1" ht="12.75">
      <c r="A102" s="63" t="s">
        <v>120</v>
      </c>
      <c r="B102" s="63"/>
      <c r="C102" s="133"/>
      <c r="D102" s="64"/>
    </row>
    <row r="103" spans="1:7" s="65" customFormat="1" ht="12.75">
      <c r="A103" s="66" t="s">
        <v>121</v>
      </c>
      <c r="B103" s="66"/>
      <c r="C103" s="133" t="s">
        <v>122</v>
      </c>
    </row>
  </sheetData>
  <customSheetViews>
    <customSheetView guid="{487FB2A4-0730-401E-81DB-8304F8599D85}" hiddenRows="1" topLeftCell="A52">
      <selection activeCell="C62" sqref="C62"/>
      <pageMargins left="0.75" right="0.75" top="1" bottom="1" header="0.5" footer="0.5"/>
      <pageSetup paperSize="9" scale="46" orientation="portrait" r:id="rId1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2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3"/>
      <headerFooter alignWithMargins="0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4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5"/>
    </customSheetView>
    <customSheetView guid="{B30CE22D-C12F-4E12-8BB9-3AAE0A6991CC}" scale="70" showPageBreaks="1" printArea="1" hiddenRows="1" view="pageBreakPreview" topLeftCell="A13">
      <selection activeCell="D55" sqref="D55"/>
      <pageMargins left="0.74803149606299213" right="0.74803149606299213" top="0.98425196850393704" bottom="0.98425196850393704" header="0.51181102362204722" footer="0.51181102362204722"/>
      <pageSetup paperSize="9" scale="59" orientation="portrait" r:id="rId6"/>
      <headerFooter alignWithMargins="0"/>
    </customSheetView>
    <customSheetView guid="{5BFCA170-DEAE-4D2C-98A0-1E68B427AC01}" showPageBreaks="1" hiddenRows="1" topLeftCell="A52">
      <selection activeCell="C62" sqref="C62"/>
      <pageMargins left="0.75" right="0.75" top="1" bottom="1" header="0.5" footer="0.5"/>
      <pageSetup paperSize="9" scale="46" orientation="portrait" r:id="rId7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1" bottom="1" header="0.5" footer="0.5"/>
  <pageSetup paperSize="9" scale="46" orientation="portrait" r:id="rId8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H105"/>
  <sheetViews>
    <sheetView view="pageBreakPreview" topLeftCell="A51" zoomScale="89" zoomScaleNormal="100" zoomScaleSheetLayoutView="70" workbookViewId="0">
      <selection activeCell="D76" sqref="D76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16" t="s">
        <v>421</v>
      </c>
      <c r="B1" s="516"/>
      <c r="C1" s="516"/>
      <c r="D1" s="516"/>
      <c r="E1" s="516"/>
      <c r="F1" s="516"/>
    </row>
    <row r="2" spans="1:6">
      <c r="A2" s="516"/>
      <c r="B2" s="516"/>
      <c r="C2" s="516"/>
      <c r="D2" s="516"/>
      <c r="E2" s="516"/>
      <c r="F2" s="516"/>
    </row>
    <row r="3" spans="1:6" ht="63">
      <c r="A3" s="2" t="s">
        <v>1</v>
      </c>
      <c r="B3" s="2" t="s">
        <v>2</v>
      </c>
      <c r="C3" s="72" t="s">
        <v>346</v>
      </c>
      <c r="D3" s="73" t="s">
        <v>419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1712.3034699999998</v>
      </c>
      <c r="D4" s="384">
        <f>D5+D12+D14+D17+D7</f>
        <v>1699.9938400000003</v>
      </c>
      <c r="E4" s="5">
        <f>SUM(D4/C4*100)</f>
        <v>99.281106987419733</v>
      </c>
      <c r="F4" s="5">
        <f>SUM(D4-C4)</f>
        <v>-12.309629999999515</v>
      </c>
    </row>
    <row r="5" spans="1:6" s="6" customFormat="1">
      <c r="A5" s="68">
        <v>1010000000</v>
      </c>
      <c r="B5" s="67" t="s">
        <v>6</v>
      </c>
      <c r="C5" s="5">
        <f>C6</f>
        <v>102.1</v>
      </c>
      <c r="D5" s="384">
        <f>D6</f>
        <v>89.225520000000003</v>
      </c>
      <c r="E5" s="5">
        <f t="shared" ref="E5:E52" si="0">SUM(D5/C5*100)</f>
        <v>87.390323212536742</v>
      </c>
      <c r="F5" s="5">
        <f t="shared" ref="F5:F52" si="1">SUM(D5-C5)</f>
        <v>-12.874479999999991</v>
      </c>
    </row>
    <row r="6" spans="1:6">
      <c r="A6" s="7">
        <v>1010200001</v>
      </c>
      <c r="B6" s="8" t="s">
        <v>229</v>
      </c>
      <c r="C6" s="9">
        <v>102.1</v>
      </c>
      <c r="D6" s="417">
        <v>89.225520000000003</v>
      </c>
      <c r="E6" s="9">
        <f t="shared" ref="E6:E11" si="2">SUM(D6/C6*100)</f>
        <v>87.390323212536742</v>
      </c>
      <c r="F6" s="9">
        <f t="shared" si="1"/>
        <v>-12.874479999999991</v>
      </c>
    </row>
    <row r="7" spans="1:6" ht="31.5">
      <c r="A7" s="3">
        <v>1030000000</v>
      </c>
      <c r="B7" s="13" t="s">
        <v>281</v>
      </c>
      <c r="C7" s="343">
        <f>C8+C10+C9</f>
        <v>626.80346999999995</v>
      </c>
      <c r="D7" s="384">
        <f>D8+D10+D9+D11</f>
        <v>636.12855000000013</v>
      </c>
      <c r="E7" s="9">
        <f t="shared" si="2"/>
        <v>101.48771990684739</v>
      </c>
      <c r="F7" s="9">
        <f t="shared" si="1"/>
        <v>9.3250800000001846</v>
      </c>
    </row>
    <row r="8" spans="1:6">
      <c r="A8" s="7">
        <v>1030223001</v>
      </c>
      <c r="B8" s="8" t="s">
        <v>283</v>
      </c>
      <c r="C8" s="9">
        <v>222.96</v>
      </c>
      <c r="D8" s="417">
        <v>283.43680999999998</v>
      </c>
      <c r="E8" s="9">
        <f t="shared" si="2"/>
        <v>127.12451112307139</v>
      </c>
      <c r="F8" s="9">
        <f t="shared" si="1"/>
        <v>60.476809999999972</v>
      </c>
    </row>
    <row r="9" spans="1:6">
      <c r="A9" s="7">
        <v>1030224001</v>
      </c>
      <c r="B9" s="8" t="s">
        <v>289</v>
      </c>
      <c r="C9" s="9">
        <v>2.4</v>
      </c>
      <c r="D9" s="417">
        <v>2.7296800000000001</v>
      </c>
      <c r="E9" s="9">
        <f t="shared" si="2"/>
        <v>113.73666666666668</v>
      </c>
      <c r="F9" s="9">
        <f t="shared" si="1"/>
        <v>0.3296800000000002</v>
      </c>
    </row>
    <row r="10" spans="1:6">
      <c r="A10" s="7">
        <v>1030225001</v>
      </c>
      <c r="B10" s="8" t="s">
        <v>282</v>
      </c>
      <c r="C10" s="9">
        <v>401.44346999999999</v>
      </c>
      <c r="D10" s="417">
        <v>413.46798000000001</v>
      </c>
      <c r="E10" s="9">
        <f t="shared" si="2"/>
        <v>102.99531836948302</v>
      </c>
      <c r="F10" s="9">
        <f t="shared" si="1"/>
        <v>12.024510000000021</v>
      </c>
    </row>
    <row r="11" spans="1:6">
      <c r="A11" s="7">
        <v>1030226001</v>
      </c>
      <c r="B11" s="8" t="s">
        <v>291</v>
      </c>
      <c r="C11" s="9">
        <v>0</v>
      </c>
      <c r="D11" s="417">
        <v>-63.505920000000003</v>
      </c>
      <c r="E11" s="9" t="e">
        <f t="shared" si="2"/>
        <v>#DIV/0!</v>
      </c>
      <c r="F11" s="9">
        <f t="shared" si="1"/>
        <v>-63.505920000000003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384">
        <f>SUM(D13:D13)</f>
        <v>3.5836100000000002</v>
      </c>
      <c r="E12" s="5">
        <f t="shared" si="0"/>
        <v>35.836100000000002</v>
      </c>
      <c r="F12" s="5">
        <f t="shared" si="1"/>
        <v>-6.4163899999999998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417">
        <v>3.5836100000000002</v>
      </c>
      <c r="E13" s="9">
        <f t="shared" si="0"/>
        <v>35.836100000000002</v>
      </c>
      <c r="F13" s="9">
        <f t="shared" si="1"/>
        <v>-6.4163899999999998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968.4</v>
      </c>
      <c r="D14" s="384">
        <f>D15+D16</f>
        <v>964.85616000000005</v>
      </c>
      <c r="E14" s="5">
        <f t="shared" si="0"/>
        <v>99.634052044609675</v>
      </c>
      <c r="F14" s="5">
        <f t="shared" si="1"/>
        <v>-3.5438399999999319</v>
      </c>
    </row>
    <row r="15" spans="1:6" s="6" customFormat="1" ht="15.75" customHeight="1">
      <c r="A15" s="7">
        <v>1060100000</v>
      </c>
      <c r="B15" s="11" t="s">
        <v>9</v>
      </c>
      <c r="C15" s="9">
        <v>183.4</v>
      </c>
      <c r="D15" s="417">
        <v>222.22174999999999</v>
      </c>
      <c r="E15" s="9">
        <f t="shared" si="0"/>
        <v>121.16780261723008</v>
      </c>
      <c r="F15" s="9">
        <f>SUM(D15-C15)</f>
        <v>38.82174999999998</v>
      </c>
    </row>
    <row r="16" spans="1:6" ht="15.75" customHeight="1">
      <c r="A16" s="7">
        <v>1060600000</v>
      </c>
      <c r="B16" s="11" t="s">
        <v>8</v>
      </c>
      <c r="C16" s="9">
        <v>785</v>
      </c>
      <c r="D16" s="417">
        <v>742.63441</v>
      </c>
      <c r="E16" s="9">
        <f t="shared" si="0"/>
        <v>94.603109554140133</v>
      </c>
      <c r="F16" s="9">
        <f t="shared" si="1"/>
        <v>-42.365589999999997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384">
        <f>D18</f>
        <v>6.2</v>
      </c>
      <c r="E17" s="5">
        <f t="shared" si="0"/>
        <v>124</v>
      </c>
      <c r="F17" s="5">
        <f t="shared" si="1"/>
        <v>1.2000000000000002</v>
      </c>
    </row>
    <row r="18" spans="1:6" ht="21.75" customHeight="1">
      <c r="A18" s="7">
        <v>1080400001</v>
      </c>
      <c r="B18" s="8" t="s">
        <v>228</v>
      </c>
      <c r="C18" s="9">
        <v>5</v>
      </c>
      <c r="D18" s="417">
        <v>6.2</v>
      </c>
      <c r="E18" s="9">
        <f t="shared" si="0"/>
        <v>124</v>
      </c>
      <c r="F18" s="9">
        <f t="shared" si="1"/>
        <v>1.2000000000000002</v>
      </c>
    </row>
    <row r="19" spans="1:6" ht="0.75" hidden="1" customHeight="1">
      <c r="A19" s="7">
        <v>1080714001</v>
      </c>
      <c r="B19" s="8" t="s">
        <v>12</v>
      </c>
      <c r="C19" s="9"/>
      <c r="D19" s="417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384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419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419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419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419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</f>
        <v>120</v>
      </c>
      <c r="D25" s="384">
        <f>D26+D30+D32+D37+D35</f>
        <v>262.02184999999997</v>
      </c>
      <c r="E25" s="5">
        <f t="shared" si="0"/>
        <v>218.35154166666663</v>
      </c>
      <c r="F25" s="5">
        <f t="shared" si="1"/>
        <v>142.02184999999997</v>
      </c>
    </row>
    <row r="26" spans="1:6" s="6" customFormat="1" ht="30" customHeight="1">
      <c r="A26" s="68">
        <v>1110000000</v>
      </c>
      <c r="B26" s="69" t="s">
        <v>129</v>
      </c>
      <c r="C26" s="5">
        <f>C27+C28+C29</f>
        <v>120</v>
      </c>
      <c r="D26" s="384">
        <v>262.02184999999997</v>
      </c>
      <c r="E26" s="5">
        <f t="shared" si="0"/>
        <v>218.35154166666663</v>
      </c>
      <c r="F26" s="5">
        <f t="shared" si="1"/>
        <v>142.02184999999997</v>
      </c>
    </row>
    <row r="27" spans="1:6">
      <c r="A27" s="16">
        <v>1110501101</v>
      </c>
      <c r="B27" s="17" t="s">
        <v>226</v>
      </c>
      <c r="C27" s="12">
        <v>0</v>
      </c>
      <c r="D27" s="417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300</v>
      </c>
      <c r="C28" s="12">
        <v>100</v>
      </c>
      <c r="D28" s="417">
        <v>231.42005</v>
      </c>
      <c r="E28" s="9">
        <f t="shared" si="0"/>
        <v>231.42005</v>
      </c>
      <c r="F28" s="9">
        <f t="shared" si="1"/>
        <v>131.42005</v>
      </c>
    </row>
    <row r="29" spans="1:6" ht="18" customHeight="1">
      <c r="A29" s="7">
        <v>1110503505</v>
      </c>
      <c r="B29" s="11" t="s">
        <v>225</v>
      </c>
      <c r="C29" s="12">
        <v>20</v>
      </c>
      <c r="D29" s="417">
        <v>30.601800000000001</v>
      </c>
      <c r="E29" s="9">
        <f t="shared" si="0"/>
        <v>153.00899999999999</v>
      </c>
      <c r="F29" s="9">
        <f t="shared" si="1"/>
        <v>10.601800000000001</v>
      </c>
    </row>
    <row r="30" spans="1:6" s="15" customFormat="1" ht="15.75" hidden="1" customHeight="1">
      <c r="A30" s="68">
        <v>1130000000</v>
      </c>
      <c r="B30" s="69" t="s">
        <v>131</v>
      </c>
      <c r="C30" s="5">
        <f>C31</f>
        <v>0</v>
      </c>
      <c r="D30" s="384">
        <f>D31</f>
        <v>0</v>
      </c>
      <c r="E30" s="5" t="e">
        <f t="shared" si="0"/>
        <v>#DIV/0!</v>
      </c>
      <c r="F30" s="5">
        <f t="shared" si="1"/>
        <v>0</v>
      </c>
    </row>
    <row r="31" spans="1:6" hidden="1">
      <c r="A31" s="7">
        <v>1130305005</v>
      </c>
      <c r="B31" s="8" t="s">
        <v>15</v>
      </c>
      <c r="C31" s="9">
        <v>0</v>
      </c>
      <c r="D31" s="417">
        <v>0</v>
      </c>
      <c r="E31" s="9" t="e">
        <f t="shared" si="0"/>
        <v>#DIV/0!</v>
      </c>
      <c r="F31" s="9">
        <f t="shared" si="1"/>
        <v>0</v>
      </c>
    </row>
    <row r="32" spans="1:6" ht="17.25" customHeight="1">
      <c r="A32" s="70">
        <v>1140000000</v>
      </c>
      <c r="B32" s="71" t="s">
        <v>132</v>
      </c>
      <c r="C32" s="5">
        <f>C34</f>
        <v>0</v>
      </c>
      <c r="D32" s="384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133</v>
      </c>
      <c r="C33" s="9">
        <v>0</v>
      </c>
      <c r="D33" s="417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7">
        <v>1140600000</v>
      </c>
      <c r="B34" s="8" t="s">
        <v>223</v>
      </c>
      <c r="C34" s="9">
        <v>0</v>
      </c>
      <c r="D34" s="417">
        <v>0</v>
      </c>
      <c r="E34" s="9" t="e">
        <f t="shared" si="0"/>
        <v>#DIV/0!</v>
      </c>
      <c r="F34" s="9">
        <f t="shared" si="1"/>
        <v>0</v>
      </c>
    </row>
    <row r="35" spans="1:7" ht="16.5" customHeight="1">
      <c r="A35" s="3">
        <v>1160000000</v>
      </c>
      <c r="B35" s="13" t="s">
        <v>252</v>
      </c>
      <c r="C35" s="5">
        <f>C36</f>
        <v>0</v>
      </c>
      <c r="D35" s="384">
        <f>D36</f>
        <v>0</v>
      </c>
      <c r="E35" s="5" t="e">
        <f t="shared" si="0"/>
        <v>#DIV/0!</v>
      </c>
      <c r="F35" s="5">
        <f t="shared" si="1"/>
        <v>0</v>
      </c>
    </row>
    <row r="36" spans="1:7" ht="52.5" customHeight="1">
      <c r="A36" s="7">
        <v>1169005010</v>
      </c>
      <c r="B36" s="8" t="s">
        <v>323</v>
      </c>
      <c r="C36" s="9">
        <v>0</v>
      </c>
      <c r="D36" s="417">
        <v>0</v>
      </c>
      <c r="E36" s="9" t="e">
        <f t="shared" si="0"/>
        <v>#DIV/0!</v>
      </c>
      <c r="F36" s="9">
        <f t="shared" si="1"/>
        <v>0</v>
      </c>
    </row>
    <row r="37" spans="1:7" ht="18" customHeight="1">
      <c r="A37" s="3">
        <v>1170000000</v>
      </c>
      <c r="B37" s="13" t="s">
        <v>135</v>
      </c>
      <c r="C37" s="5">
        <f>C38+C39</f>
        <v>0</v>
      </c>
      <c r="D37" s="384">
        <f>D38+D39</f>
        <v>0</v>
      </c>
      <c r="E37" s="9" t="e">
        <f t="shared" si="0"/>
        <v>#DIV/0!</v>
      </c>
      <c r="F37" s="5">
        <f t="shared" si="1"/>
        <v>0</v>
      </c>
    </row>
    <row r="38" spans="1:7" ht="15" customHeight="1">
      <c r="A38" s="7">
        <v>1170105005</v>
      </c>
      <c r="B38" s="8" t="s">
        <v>18</v>
      </c>
      <c r="C38" s="9">
        <v>0</v>
      </c>
      <c r="D38" s="416">
        <v>0</v>
      </c>
      <c r="E38" s="9" t="e">
        <f t="shared" si="0"/>
        <v>#DIV/0!</v>
      </c>
      <c r="F38" s="9">
        <f t="shared" si="1"/>
        <v>0</v>
      </c>
    </row>
    <row r="39" spans="1:7" ht="17.25" customHeight="1">
      <c r="A39" s="7">
        <v>1170505005</v>
      </c>
      <c r="B39" s="11" t="s">
        <v>221</v>
      </c>
      <c r="C39" s="9">
        <v>0</v>
      </c>
      <c r="D39" s="417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1832.3034699999998</v>
      </c>
      <c r="D40" s="426">
        <f>D4+D25</f>
        <v>1962.0156900000002</v>
      </c>
      <c r="E40" s="5">
        <f t="shared" si="0"/>
        <v>107.0791886891968</v>
      </c>
      <c r="F40" s="5">
        <f t="shared" si="1"/>
        <v>129.71222000000034</v>
      </c>
    </row>
    <row r="41" spans="1:7" s="6" customFormat="1">
      <c r="A41" s="3">
        <v>2000000000</v>
      </c>
      <c r="B41" s="4" t="s">
        <v>20</v>
      </c>
      <c r="C41" s="384">
        <f>C42+C44+C46+C47+C48+C49+C43+C45+C51</f>
        <v>9543.7067700000007</v>
      </c>
      <c r="D41" s="384">
        <f>D42+D44+D46+D47+D48+D49+D43+D45+D51</f>
        <v>9737.8188499999997</v>
      </c>
      <c r="E41" s="5">
        <f t="shared" si="0"/>
        <v>102.03392753652255</v>
      </c>
      <c r="F41" s="5">
        <f t="shared" si="1"/>
        <v>194.11207999999897</v>
      </c>
      <c r="G41" s="19"/>
    </row>
    <row r="42" spans="1:7">
      <c r="A42" s="16">
        <v>2021000000</v>
      </c>
      <c r="B42" s="17" t="s">
        <v>21</v>
      </c>
      <c r="C42" s="421">
        <f>1943.3+29.612</f>
        <v>1972.912</v>
      </c>
      <c r="D42" s="427">
        <v>1972.912</v>
      </c>
      <c r="E42" s="9">
        <f t="shared" si="0"/>
        <v>100</v>
      </c>
      <c r="F42" s="9">
        <f t="shared" si="1"/>
        <v>0</v>
      </c>
    </row>
    <row r="43" spans="1:7">
      <c r="A43" s="16">
        <v>2021500200</v>
      </c>
      <c r="B43" s="17" t="s">
        <v>232</v>
      </c>
      <c r="C43" s="418">
        <v>570</v>
      </c>
      <c r="D43" s="427">
        <v>570</v>
      </c>
      <c r="E43" s="9">
        <f t="shared" si="0"/>
        <v>100</v>
      </c>
      <c r="F43" s="9">
        <f t="shared" si="1"/>
        <v>0</v>
      </c>
    </row>
    <row r="44" spans="1:7" ht="16.5" customHeight="1">
      <c r="A44" s="16">
        <v>2022000000</v>
      </c>
      <c r="B44" s="17" t="s">
        <v>22</v>
      </c>
      <c r="C44" s="418">
        <v>6713.3637699999999</v>
      </c>
      <c r="D44" s="417">
        <v>6710.4758499999998</v>
      </c>
      <c r="E44" s="9">
        <f t="shared" si="0"/>
        <v>99.95698251876496</v>
      </c>
      <c r="F44" s="9">
        <f t="shared" si="1"/>
        <v>-2.8879200000001219</v>
      </c>
    </row>
    <row r="45" spans="1:7" hidden="1">
      <c r="A45" s="16">
        <v>2022999910</v>
      </c>
      <c r="B45" s="18" t="s">
        <v>352</v>
      </c>
      <c r="C45" s="418"/>
      <c r="D45" s="417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23</v>
      </c>
      <c r="C46" s="418">
        <v>174.108</v>
      </c>
      <c r="D46" s="428">
        <v>174.108</v>
      </c>
      <c r="E46" s="9">
        <f>SUM(D46/C46*100)</f>
        <v>100</v>
      </c>
      <c r="F46" s="9">
        <f>SUM(D46-C46)</f>
        <v>0</v>
      </c>
    </row>
    <row r="47" spans="1:7">
      <c r="A47" s="16">
        <v>2020400000</v>
      </c>
      <c r="B47" s="17" t="s">
        <v>24</v>
      </c>
      <c r="C47" s="418"/>
      <c r="D47" s="429">
        <v>0</v>
      </c>
      <c r="E47" s="9" t="e">
        <f t="shared" si="0"/>
        <v>#DIV/0!</v>
      </c>
      <c r="F47" s="9">
        <f t="shared" si="1"/>
        <v>0</v>
      </c>
    </row>
    <row r="48" spans="1:7" ht="47.25">
      <c r="A48" s="16">
        <v>2020900000</v>
      </c>
      <c r="B48" s="18" t="s">
        <v>25</v>
      </c>
      <c r="C48" s="418">
        <v>0</v>
      </c>
      <c r="D48" s="429">
        <v>0</v>
      </c>
      <c r="E48" s="9" t="e">
        <f t="shared" si="0"/>
        <v>#DIV/0!</v>
      </c>
      <c r="F48" s="9">
        <f t="shared" si="1"/>
        <v>0</v>
      </c>
    </row>
    <row r="49" spans="1:8">
      <c r="A49" s="7">
        <v>2190500005</v>
      </c>
      <c r="B49" s="11" t="s">
        <v>26</v>
      </c>
      <c r="C49" s="417">
        <v>0</v>
      </c>
      <c r="D49" s="417">
        <v>0</v>
      </c>
      <c r="E49" s="9" t="e">
        <f t="shared" si="0"/>
        <v>#DIV/0!</v>
      </c>
      <c r="F49" s="9">
        <f>SUM(D49-C49)</f>
        <v>0</v>
      </c>
    </row>
    <row r="50" spans="1:8" s="6" customFormat="1" ht="31.5" hidden="1">
      <c r="A50" s="3">
        <v>3000000000</v>
      </c>
      <c r="B50" s="13" t="s">
        <v>27</v>
      </c>
      <c r="C50" s="422">
        <v>0</v>
      </c>
      <c r="D50" s="419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359</v>
      </c>
      <c r="C51" s="418">
        <v>113.32299999999999</v>
      </c>
      <c r="D51" s="417">
        <v>310.32299999999998</v>
      </c>
      <c r="E51" s="9">
        <f t="shared" si="0"/>
        <v>273.83937947283431</v>
      </c>
      <c r="F51" s="9">
        <f t="shared" si="1"/>
        <v>197</v>
      </c>
    </row>
    <row r="52" spans="1:8" s="6" customFormat="1" ht="23.25" customHeight="1">
      <c r="A52" s="3"/>
      <c r="B52" s="4" t="s">
        <v>28</v>
      </c>
      <c r="C52" s="343">
        <f>C40+C41</f>
        <v>11376.01024</v>
      </c>
      <c r="D52" s="423">
        <f>D40+D41</f>
        <v>11699.83454</v>
      </c>
      <c r="E52" s="5">
        <f t="shared" si="0"/>
        <v>102.84655422391744</v>
      </c>
      <c r="F52" s="5">
        <f t="shared" si="1"/>
        <v>323.82430000000022</v>
      </c>
      <c r="G52" s="94"/>
      <c r="H52" s="94"/>
    </row>
    <row r="53" spans="1:8" s="6" customFormat="1">
      <c r="A53" s="3"/>
      <c r="B53" s="21" t="s">
        <v>321</v>
      </c>
      <c r="C53" s="343">
        <f>C52-C101</f>
        <v>-110.81862000000001</v>
      </c>
      <c r="D53" s="343">
        <f>D52-D101</f>
        <v>403.11283000000003</v>
      </c>
      <c r="E53" s="22"/>
      <c r="F53" s="22"/>
    </row>
    <row r="54" spans="1:8" ht="32.25" customHeight="1">
      <c r="A54" s="23"/>
      <c r="B54" s="24"/>
      <c r="C54" s="247"/>
      <c r="D54" s="25"/>
      <c r="E54" s="26"/>
      <c r="F54" s="27"/>
    </row>
    <row r="55" spans="1:8" ht="63">
      <c r="A55" s="28" t="s">
        <v>1</v>
      </c>
      <c r="B55" s="28" t="s">
        <v>29</v>
      </c>
      <c r="C55" s="72" t="s">
        <v>346</v>
      </c>
      <c r="D55" s="73" t="s">
        <v>415</v>
      </c>
      <c r="E55" s="72" t="s">
        <v>3</v>
      </c>
      <c r="F55" s="74" t="s">
        <v>4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30</v>
      </c>
      <c r="B57" s="31" t="s">
        <v>31</v>
      </c>
      <c r="C57" s="425">
        <f>C58+C59+C60+C61+C62+C64+C63</f>
        <v>1365.6579999999999</v>
      </c>
      <c r="D57" s="33">
        <f>D58+D59+D60+D61+D62+D64+D63</f>
        <v>1317.3251499999999</v>
      </c>
      <c r="E57" s="34">
        <f>SUM(D57/C57*100)</f>
        <v>96.460837925747143</v>
      </c>
      <c r="F57" s="34">
        <f>SUM(D57-C57)</f>
        <v>-48.332850000000008</v>
      </c>
    </row>
    <row r="58" spans="1:8" s="6" customFormat="1" ht="1.5" customHeight="1">
      <c r="A58" s="35" t="s">
        <v>32</v>
      </c>
      <c r="B58" s="36" t="s">
        <v>33</v>
      </c>
      <c r="C58" s="37">
        <v>0</v>
      </c>
      <c r="D58" s="37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34</v>
      </c>
      <c r="B59" s="39" t="s">
        <v>35</v>
      </c>
      <c r="C59" s="136">
        <v>1331.9749999999999</v>
      </c>
      <c r="D59" s="37">
        <v>1292.29665</v>
      </c>
      <c r="E59" s="38">
        <f t="shared" ref="E59:E101" si="3">SUM(D59/C59*100)</f>
        <v>97.021088984402866</v>
      </c>
      <c r="F59" s="38">
        <f t="shared" ref="F59:F101" si="4">SUM(D59-C59)</f>
        <v>-39.678349999999909</v>
      </c>
    </row>
    <row r="60" spans="1:8" ht="16.5" hidden="1" customHeight="1">
      <c r="A60" s="35" t="s">
        <v>36</v>
      </c>
      <c r="B60" s="39" t="s">
        <v>37</v>
      </c>
      <c r="C60" s="136"/>
      <c r="D60" s="37"/>
      <c r="E60" s="38"/>
      <c r="F60" s="38">
        <f t="shared" si="4"/>
        <v>0</v>
      </c>
    </row>
    <row r="61" spans="1:8" ht="31.5" hidden="1" customHeight="1">
      <c r="A61" s="35" t="s">
        <v>38</v>
      </c>
      <c r="B61" s="39" t="s">
        <v>39</v>
      </c>
      <c r="C61" s="136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40</v>
      </c>
      <c r="B62" s="39" t="s">
        <v>41</v>
      </c>
      <c r="C62" s="136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42</v>
      </c>
      <c r="B63" s="39" t="s">
        <v>43</v>
      </c>
      <c r="C63" s="424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44</v>
      </c>
      <c r="B64" s="39" t="s">
        <v>45</v>
      </c>
      <c r="C64" s="136">
        <v>28.683</v>
      </c>
      <c r="D64" s="37">
        <v>25.028500000000001</v>
      </c>
      <c r="E64" s="38">
        <f t="shared" si="3"/>
        <v>87.25900359097723</v>
      </c>
      <c r="F64" s="38">
        <f t="shared" si="4"/>
        <v>-3.6544999999999987</v>
      </c>
    </row>
    <row r="65" spans="1:7" s="6" customFormat="1">
      <c r="A65" s="41" t="s">
        <v>46</v>
      </c>
      <c r="B65" s="42" t="s">
        <v>47</v>
      </c>
      <c r="C65" s="425">
        <f>C66</f>
        <v>170.749</v>
      </c>
      <c r="D65" s="32">
        <f>D66</f>
        <v>170.749</v>
      </c>
      <c r="E65" s="34">
        <f t="shared" si="3"/>
        <v>100</v>
      </c>
      <c r="F65" s="34">
        <f t="shared" si="4"/>
        <v>0</v>
      </c>
    </row>
    <row r="66" spans="1:7" ht="15" customHeight="1">
      <c r="A66" s="43" t="s">
        <v>48</v>
      </c>
      <c r="B66" s="44" t="s">
        <v>49</v>
      </c>
      <c r="C66" s="136">
        <v>170.749</v>
      </c>
      <c r="D66" s="37">
        <v>170.749</v>
      </c>
      <c r="E66" s="38">
        <f t="shared" si="3"/>
        <v>100</v>
      </c>
      <c r="F66" s="38">
        <f t="shared" si="4"/>
        <v>0</v>
      </c>
    </row>
    <row r="67" spans="1:7" s="6" customFormat="1" ht="18" customHeight="1">
      <c r="A67" s="30" t="s">
        <v>50</v>
      </c>
      <c r="B67" s="31" t="s">
        <v>51</v>
      </c>
      <c r="C67" s="425">
        <f>C70+C71+C72</f>
        <v>32.86692</v>
      </c>
      <c r="D67" s="32">
        <f>D70+D71+D72</f>
        <v>26.933920000000001</v>
      </c>
      <c r="E67" s="34">
        <f t="shared" si="3"/>
        <v>81.948415002075038</v>
      </c>
      <c r="F67" s="34">
        <f t="shared" si="4"/>
        <v>-5.9329999999999998</v>
      </c>
    </row>
    <row r="68" spans="1:7" ht="0.75" hidden="1" customHeight="1">
      <c r="A68" s="35" t="s">
        <v>52</v>
      </c>
      <c r="B68" s="39" t="s">
        <v>53</v>
      </c>
      <c r="C68" s="136"/>
      <c r="D68" s="37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54</v>
      </c>
      <c r="B69" s="39" t="s">
        <v>55</v>
      </c>
      <c r="C69" s="136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136">
        <v>2.8029999999999999</v>
      </c>
      <c r="D70" s="37">
        <v>0</v>
      </c>
      <c r="E70" s="34">
        <f t="shared" si="3"/>
        <v>0</v>
      </c>
      <c r="F70" s="34">
        <f t="shared" si="4"/>
        <v>-2.8029999999999999</v>
      </c>
    </row>
    <row r="71" spans="1:7" ht="17.25" customHeight="1">
      <c r="A71" s="46" t="s">
        <v>219</v>
      </c>
      <c r="B71" s="47" t="s">
        <v>220</v>
      </c>
      <c r="C71" s="136">
        <v>5.6</v>
      </c>
      <c r="D71" s="37">
        <v>2.4700000000000002</v>
      </c>
      <c r="E71" s="38">
        <f t="shared" si="3"/>
        <v>44.107142857142861</v>
      </c>
      <c r="F71" s="38">
        <f t="shared" si="4"/>
        <v>-3.1299999999999994</v>
      </c>
    </row>
    <row r="72" spans="1:7" ht="17.25" customHeight="1">
      <c r="A72" s="46" t="s">
        <v>360</v>
      </c>
      <c r="B72" s="47" t="s">
        <v>412</v>
      </c>
      <c r="C72" s="136">
        <v>24.463920000000002</v>
      </c>
      <c r="D72" s="37">
        <v>24.463920000000002</v>
      </c>
      <c r="E72" s="38">
        <f>SUM(D72/C72*100)</f>
        <v>100</v>
      </c>
      <c r="F72" s="38">
        <f>SUM(D72-C72)</f>
        <v>0</v>
      </c>
    </row>
    <row r="73" spans="1:7" s="6" customFormat="1" ht="19.5" customHeight="1">
      <c r="A73" s="30" t="s">
        <v>58</v>
      </c>
      <c r="B73" s="31" t="s">
        <v>59</v>
      </c>
      <c r="C73" s="224">
        <f>C75+C76+C77+C74</f>
        <v>2160.9909000000002</v>
      </c>
      <c r="D73" s="48">
        <f>SUM(D74:D77)</f>
        <v>2083.4667800000002</v>
      </c>
      <c r="E73" s="34">
        <f t="shared" si="3"/>
        <v>96.412566105669399</v>
      </c>
      <c r="F73" s="34">
        <f t="shared" si="4"/>
        <v>-77.524120000000039</v>
      </c>
    </row>
    <row r="74" spans="1:7" ht="17.25" customHeight="1">
      <c r="A74" s="35" t="s">
        <v>60</v>
      </c>
      <c r="B74" s="39" t="s">
        <v>61</v>
      </c>
      <c r="C74" s="415">
        <v>7.5</v>
      </c>
      <c r="D74" s="37">
        <v>7.5</v>
      </c>
      <c r="E74" s="38">
        <f t="shared" si="3"/>
        <v>100</v>
      </c>
      <c r="F74" s="38">
        <f t="shared" si="4"/>
        <v>0</v>
      </c>
    </row>
    <row r="75" spans="1:7" s="6" customFormat="1" ht="17.25" customHeight="1">
      <c r="A75" s="35" t="s">
        <v>62</v>
      </c>
      <c r="B75" s="39" t="s">
        <v>63</v>
      </c>
      <c r="C75" s="415">
        <v>327.79599999999999</v>
      </c>
      <c r="D75" s="37">
        <v>280.89609000000002</v>
      </c>
      <c r="E75" s="38">
        <f t="shared" si="3"/>
        <v>85.692348289790004</v>
      </c>
      <c r="F75" s="38">
        <f t="shared" si="4"/>
        <v>-46.899909999999977</v>
      </c>
      <c r="G75" s="50"/>
    </row>
    <row r="76" spans="1:7" ht="16.5" customHeight="1">
      <c r="A76" s="35" t="s">
        <v>64</v>
      </c>
      <c r="B76" s="39" t="s">
        <v>65</v>
      </c>
      <c r="C76" s="415">
        <v>1609.5360900000001</v>
      </c>
      <c r="D76" s="37">
        <v>1609.5360900000001</v>
      </c>
      <c r="E76" s="38">
        <f t="shared" si="3"/>
        <v>100</v>
      </c>
      <c r="F76" s="38">
        <f t="shared" si="4"/>
        <v>0</v>
      </c>
    </row>
    <row r="77" spans="1:7" ht="16.5" customHeight="1">
      <c r="A77" s="35" t="s">
        <v>66</v>
      </c>
      <c r="B77" s="39" t="s">
        <v>67</v>
      </c>
      <c r="C77" s="415">
        <v>216.15880999999999</v>
      </c>
      <c r="D77" s="37">
        <v>185.53460000000001</v>
      </c>
      <c r="E77" s="38">
        <f t="shared" si="3"/>
        <v>85.832541361603546</v>
      </c>
      <c r="F77" s="38">
        <f t="shared" si="4"/>
        <v>-30.624209999999977</v>
      </c>
    </row>
    <row r="78" spans="1:7" ht="15.75" hidden="1" customHeight="1">
      <c r="A78" s="30" t="s">
        <v>50</v>
      </c>
      <c r="B78" s="31" t="s">
        <v>51</v>
      </c>
      <c r="C78" s="224">
        <v>0</v>
      </c>
      <c r="D78" s="37"/>
      <c r="E78" s="38"/>
      <c r="F78" s="38"/>
    </row>
    <row r="79" spans="1:7" ht="15.75" hidden="1" customHeight="1">
      <c r="A79" s="46" t="s">
        <v>219</v>
      </c>
      <c r="B79" s="47" t="s">
        <v>220</v>
      </c>
      <c r="C79" s="415">
        <v>0</v>
      </c>
      <c r="D79" s="37"/>
      <c r="E79" s="38"/>
      <c r="F79" s="38"/>
    </row>
    <row r="80" spans="1:7" s="6" customFormat="1" ht="19.5" customHeight="1">
      <c r="A80" s="30" t="s">
        <v>68</v>
      </c>
      <c r="B80" s="31" t="s">
        <v>69</v>
      </c>
      <c r="C80" s="425">
        <f>SUM(C81:C83)</f>
        <v>6389.1640399999997</v>
      </c>
      <c r="D80" s="32">
        <f>SUM(D81:D83)</f>
        <v>6331.8468599999997</v>
      </c>
      <c r="E80" s="34">
        <f t="shared" si="3"/>
        <v>99.102900165950345</v>
      </c>
      <c r="F80" s="34">
        <f t="shared" si="4"/>
        <v>-57.317180000000008</v>
      </c>
    </row>
    <row r="81" spans="1:6" hidden="1">
      <c r="A81" s="35" t="s">
        <v>70</v>
      </c>
      <c r="B81" s="51" t="s">
        <v>71</v>
      </c>
      <c r="C81" s="136"/>
      <c r="D81" s="37"/>
      <c r="E81" s="38" t="e">
        <f t="shared" si="3"/>
        <v>#DIV/0!</v>
      </c>
      <c r="F81" s="38">
        <f t="shared" si="4"/>
        <v>0</v>
      </c>
    </row>
    <row r="82" spans="1:6">
      <c r="A82" s="35" t="s">
        <v>72</v>
      </c>
      <c r="B82" s="51" t="s">
        <v>73</v>
      </c>
      <c r="C82" s="136">
        <v>5568.5400399999999</v>
      </c>
      <c r="D82" s="37">
        <v>5511.7581</v>
      </c>
      <c r="E82" s="38">
        <f t="shared" si="3"/>
        <v>98.980308310757877</v>
      </c>
      <c r="F82" s="38">
        <f t="shared" si="4"/>
        <v>-56.78193999999985</v>
      </c>
    </row>
    <row r="83" spans="1:6" ht="12.75" customHeight="1">
      <c r="A83" s="35" t="s">
        <v>74</v>
      </c>
      <c r="B83" s="39" t="s">
        <v>75</v>
      </c>
      <c r="C83" s="136">
        <v>820.62400000000002</v>
      </c>
      <c r="D83" s="37">
        <v>820.08875999999998</v>
      </c>
      <c r="E83" s="38">
        <f t="shared" si="3"/>
        <v>99.934776462789287</v>
      </c>
      <c r="F83" s="38">
        <f t="shared" si="4"/>
        <v>-0.53524000000004435</v>
      </c>
    </row>
    <row r="84" spans="1:6" s="6" customFormat="1" ht="11.25" customHeight="1">
      <c r="A84" s="30" t="s">
        <v>86</v>
      </c>
      <c r="B84" s="31" t="s">
        <v>87</v>
      </c>
      <c r="C84" s="425">
        <f>C85</f>
        <v>1357.4</v>
      </c>
      <c r="D84" s="32">
        <f>SUM(D85)</f>
        <v>1356.4</v>
      </c>
      <c r="E84" s="34">
        <f t="shared" si="3"/>
        <v>99.926329748047735</v>
      </c>
      <c r="F84" s="34">
        <f t="shared" si="4"/>
        <v>-1</v>
      </c>
    </row>
    <row r="85" spans="1:6" ht="14.25" customHeight="1">
      <c r="A85" s="35" t="s">
        <v>88</v>
      </c>
      <c r="B85" s="39" t="s">
        <v>234</v>
      </c>
      <c r="C85" s="136">
        <v>1357.4</v>
      </c>
      <c r="D85" s="37">
        <v>1356.4</v>
      </c>
      <c r="E85" s="38">
        <f t="shared" si="3"/>
        <v>99.926329748047735</v>
      </c>
      <c r="F85" s="38">
        <f t="shared" si="4"/>
        <v>-1</v>
      </c>
    </row>
    <row r="86" spans="1:6" s="6" customFormat="1" ht="12" customHeight="1">
      <c r="A86" s="52">
        <v>1000</v>
      </c>
      <c r="B86" s="31" t="s">
        <v>89</v>
      </c>
      <c r="C86" s="425">
        <f>SUM(C87:C90)</f>
        <v>0</v>
      </c>
      <c r="D86" s="3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t="9" customHeight="1">
      <c r="A87" s="53">
        <v>1001</v>
      </c>
      <c r="B87" s="54" t="s">
        <v>90</v>
      </c>
      <c r="C87" s="136"/>
      <c r="D87" s="37"/>
      <c r="E87" s="38" t="e">
        <f t="shared" si="3"/>
        <v>#DIV/0!</v>
      </c>
      <c r="F87" s="38">
        <f t="shared" si="4"/>
        <v>0</v>
      </c>
    </row>
    <row r="88" spans="1:6" ht="12" customHeight="1">
      <c r="A88" s="53">
        <v>1003</v>
      </c>
      <c r="B88" s="54" t="s">
        <v>91</v>
      </c>
      <c r="C88" s="136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2.75" customHeight="1">
      <c r="A89" s="53">
        <v>1004</v>
      </c>
      <c r="B89" s="54" t="s">
        <v>92</v>
      </c>
      <c r="C89" s="136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9.5" customHeight="1">
      <c r="A90" s="35" t="s">
        <v>93</v>
      </c>
      <c r="B90" s="39" t="s">
        <v>94</v>
      </c>
      <c r="C90" s="136">
        <v>0</v>
      </c>
      <c r="D90" s="37">
        <v>0</v>
      </c>
      <c r="E90" s="38"/>
      <c r="F90" s="38">
        <f t="shared" si="4"/>
        <v>0</v>
      </c>
    </row>
    <row r="91" spans="1:6" ht="15" customHeight="1">
      <c r="A91" s="30" t="s">
        <v>95</v>
      </c>
      <c r="B91" s="31" t="s">
        <v>96</v>
      </c>
      <c r="C91" s="425">
        <f>C92+C93+C94+C95+C96</f>
        <v>10</v>
      </c>
      <c r="D91" s="32">
        <f>D92+D93+D94+D95+D96</f>
        <v>10</v>
      </c>
      <c r="E91" s="38">
        <f t="shared" si="3"/>
        <v>100</v>
      </c>
      <c r="F91" s="22">
        <f>F92+F93+F94+F95+F96</f>
        <v>0</v>
      </c>
    </row>
    <row r="92" spans="1:6" ht="19.5" customHeight="1">
      <c r="A92" s="35" t="s">
        <v>97</v>
      </c>
      <c r="B92" s="39" t="s">
        <v>98</v>
      </c>
      <c r="C92" s="136">
        <v>10</v>
      </c>
      <c r="D92" s="37">
        <v>10</v>
      </c>
      <c r="E92" s="38">
        <f t="shared" si="3"/>
        <v>100</v>
      </c>
      <c r="F92" s="38">
        <f>SUM(D92-C92)</f>
        <v>0</v>
      </c>
    </row>
    <row r="93" spans="1:6" ht="15" hidden="1" customHeight="1">
      <c r="A93" s="35" t="s">
        <v>99</v>
      </c>
      <c r="B93" s="39" t="s">
        <v>100</v>
      </c>
      <c r="C93" s="136"/>
      <c r="D93" s="37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101</v>
      </c>
      <c r="B94" s="39" t="s">
        <v>102</v>
      </c>
      <c r="C94" s="136"/>
      <c r="D94" s="37"/>
      <c r="E94" s="38" t="e">
        <f t="shared" si="3"/>
        <v>#DIV/0!</v>
      </c>
      <c r="F94" s="38"/>
    </row>
    <row r="95" spans="1:6" ht="15" hidden="1" customHeight="1">
      <c r="A95" s="35" t="s">
        <v>103</v>
      </c>
      <c r="B95" s="39" t="s">
        <v>104</v>
      </c>
      <c r="C95" s="136"/>
      <c r="D95" s="37"/>
      <c r="E95" s="38" t="e">
        <f t="shared" si="3"/>
        <v>#DIV/0!</v>
      </c>
      <c r="F95" s="38"/>
    </row>
    <row r="96" spans="1:6" ht="57.75" hidden="1" customHeight="1">
      <c r="A96" s="35" t="s">
        <v>105</v>
      </c>
      <c r="B96" s="39" t="s">
        <v>106</v>
      </c>
      <c r="C96" s="136"/>
      <c r="D96" s="240"/>
      <c r="E96" s="38" t="e">
        <f t="shared" si="3"/>
        <v>#DIV/0!</v>
      </c>
      <c r="F96" s="38"/>
    </row>
    <row r="97" spans="1:6" s="6" customFormat="1" ht="15" hidden="1" customHeight="1">
      <c r="A97" s="52">
        <v>1400</v>
      </c>
      <c r="B97" s="56" t="s">
        <v>115</v>
      </c>
      <c r="C97" s="224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6.5" customHeight="1">
      <c r="A98" s="53">
        <v>1401</v>
      </c>
      <c r="B98" s="54" t="s">
        <v>116</v>
      </c>
      <c r="C98" s="13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20.25" customHeight="1">
      <c r="A99" s="53">
        <v>1402</v>
      </c>
      <c r="B99" s="54" t="s">
        <v>117</v>
      </c>
      <c r="C99" s="415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ht="13.5" customHeight="1">
      <c r="A100" s="53">
        <v>1403</v>
      </c>
      <c r="B100" s="54" t="s">
        <v>118</v>
      </c>
      <c r="C100" s="415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6" s="6" customFormat="1">
      <c r="A101" s="52"/>
      <c r="B101" s="57" t="s">
        <v>119</v>
      </c>
      <c r="C101" s="393">
        <f>C57+C65+C67+C73+C80+C84+C86+C91+C78</f>
        <v>11486.82886</v>
      </c>
      <c r="D101" s="393">
        <f>D57+D65+D67+D73+D80+D84+D91+D86</f>
        <v>11296.72171</v>
      </c>
      <c r="E101" s="34">
        <f t="shared" si="3"/>
        <v>98.344998847662822</v>
      </c>
      <c r="F101" s="34">
        <f t="shared" si="4"/>
        <v>-190.10714999999982</v>
      </c>
    </row>
    <row r="102" spans="1:6" ht="5.25" customHeight="1">
      <c r="C102" s="120"/>
      <c r="D102" s="61"/>
    </row>
    <row r="103" spans="1:6" s="65" customFormat="1" ht="12.75">
      <c r="A103" s="63" t="s">
        <v>120</v>
      </c>
      <c r="B103" s="63"/>
      <c r="C103" s="116"/>
      <c r="D103" s="64"/>
    </row>
    <row r="104" spans="1:6" s="65" customFormat="1" ht="12.75">
      <c r="A104" s="66" t="s">
        <v>121</v>
      </c>
      <c r="B104" s="66"/>
      <c r="C104" s="65" t="s">
        <v>122</v>
      </c>
    </row>
    <row r="105" spans="1:6">
      <c r="C105" s="120"/>
    </row>
  </sheetData>
  <customSheetViews>
    <customSheetView guid="{487FB2A4-0730-401E-81DB-8304F8599D85}" scale="89" showPageBreaks="1" printArea="1" hiddenRows="1" view="pageBreakPreview" topLeftCell="A51">
      <selection activeCell="D76" sqref="D76"/>
      <pageMargins left="0.7" right="0.7" top="0.75" bottom="0.75" header="0.3" footer="0.3"/>
      <pageSetup paperSize="9" scale="48" orientation="portrait" r:id="rId1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3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4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5"/>
    </customSheetView>
    <customSheetView guid="{B30CE22D-C12F-4E12-8BB9-3AAE0A6991CC}" scale="70" showPageBreaks="1" printArea="1" hiddenRows="1" view="pageBreakPreview" topLeftCell="A40">
      <selection activeCell="C100" sqref="C100:D100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cale="89" showPageBreaks="1" printArea="1" hiddenRows="1" view="pageBreakPreview" topLeftCell="A51">
      <selection activeCell="D76" sqref="D76"/>
      <pageMargins left="0.7" right="0.7" top="0.75" bottom="0.75" header="0.3" footer="0.3"/>
      <pageSetup paperSize="9" scale="48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8" orientation="portrait" r:id="rId8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01"/>
  <sheetViews>
    <sheetView zoomScaleNormal="100" zoomScaleSheetLayoutView="70" workbookViewId="0">
      <selection activeCell="C6" sqref="C6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16" t="s">
        <v>422</v>
      </c>
      <c r="B1" s="516"/>
      <c r="C1" s="516"/>
      <c r="D1" s="516"/>
      <c r="E1" s="516"/>
      <c r="F1" s="516"/>
    </row>
    <row r="2" spans="1:6">
      <c r="A2" s="516"/>
      <c r="B2" s="516"/>
      <c r="C2" s="516"/>
      <c r="D2" s="516"/>
      <c r="E2" s="516"/>
      <c r="F2" s="516"/>
    </row>
    <row r="3" spans="1:6" ht="63">
      <c r="A3" s="2" t="s">
        <v>1</v>
      </c>
      <c r="B3" s="2" t="s">
        <v>2</v>
      </c>
      <c r="C3" s="72" t="s">
        <v>346</v>
      </c>
      <c r="D3" s="73" t="s">
        <v>419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280">
        <f>C5+C12+C14+C17+C20+C7</f>
        <v>4166.8600000000006</v>
      </c>
      <c r="D4" s="280">
        <f>D5+D12+D14+D17+D20+D7</f>
        <v>4244.0798699999996</v>
      </c>
      <c r="E4" s="5">
        <f>SUM(D4/C4*100)</f>
        <v>101.85319089194257</v>
      </c>
      <c r="F4" s="5">
        <f>SUM(D4-C4)</f>
        <v>77.219869999998991</v>
      </c>
    </row>
    <row r="5" spans="1:6" s="6" customFormat="1">
      <c r="A5" s="68">
        <v>1010000000</v>
      </c>
      <c r="B5" s="67" t="s">
        <v>6</v>
      </c>
      <c r="C5" s="280">
        <f>C6</f>
        <v>456.3</v>
      </c>
      <c r="D5" s="280">
        <f>D6</f>
        <v>466.48282</v>
      </c>
      <c r="E5" s="5">
        <f t="shared" ref="E5:E50" si="0">SUM(D5/C5*100)</f>
        <v>102.23160639929871</v>
      </c>
      <c r="F5" s="5">
        <f t="shared" ref="F5:F50" si="1">SUM(D5-C5)</f>
        <v>10.182819999999992</v>
      </c>
    </row>
    <row r="6" spans="1:6">
      <c r="A6" s="7">
        <v>1010200001</v>
      </c>
      <c r="B6" s="8" t="s">
        <v>229</v>
      </c>
      <c r="C6" s="329">
        <v>456.3</v>
      </c>
      <c r="D6" s="330">
        <v>466.48282</v>
      </c>
      <c r="E6" s="9">
        <f t="shared" ref="E6:E11" si="2">SUM(D6/C6*100)</f>
        <v>102.23160639929871</v>
      </c>
      <c r="F6" s="9">
        <f t="shared" si="1"/>
        <v>10.182819999999992</v>
      </c>
    </row>
    <row r="7" spans="1:6" ht="31.5">
      <c r="A7" s="3">
        <v>1030000000</v>
      </c>
      <c r="B7" s="13" t="s">
        <v>281</v>
      </c>
      <c r="C7" s="280">
        <f>C8+C10+C9</f>
        <v>719.56000000000006</v>
      </c>
      <c r="D7" s="280">
        <f>D8+D10+D9+D11</f>
        <v>758.81044999999995</v>
      </c>
      <c r="E7" s="5">
        <f t="shared" si="2"/>
        <v>105.45478486853075</v>
      </c>
      <c r="F7" s="5">
        <f t="shared" si="1"/>
        <v>39.250449999999887</v>
      </c>
    </row>
    <row r="8" spans="1:6">
      <c r="A8" s="7">
        <v>1030223001</v>
      </c>
      <c r="B8" s="8" t="s">
        <v>283</v>
      </c>
      <c r="C8" s="329">
        <v>272.49</v>
      </c>
      <c r="D8" s="330">
        <v>338.09964000000002</v>
      </c>
      <c r="E8" s="9">
        <f t="shared" si="2"/>
        <v>124.0778156996587</v>
      </c>
      <c r="F8" s="9">
        <f t="shared" si="1"/>
        <v>65.609640000000013</v>
      </c>
    </row>
    <row r="9" spans="1:6">
      <c r="A9" s="7">
        <v>1030224001</v>
      </c>
      <c r="B9" s="8" t="s">
        <v>289</v>
      </c>
      <c r="C9" s="329">
        <v>2.85</v>
      </c>
      <c r="D9" s="330">
        <v>3.2561300000000002</v>
      </c>
      <c r="E9" s="9">
        <f t="shared" si="2"/>
        <v>114.2501754385965</v>
      </c>
      <c r="F9" s="9">
        <f t="shared" si="1"/>
        <v>0.4061300000000001</v>
      </c>
    </row>
    <row r="10" spans="1:6">
      <c r="A10" s="7">
        <v>1030225001</v>
      </c>
      <c r="B10" s="8" t="s">
        <v>282</v>
      </c>
      <c r="C10" s="329">
        <v>444.22</v>
      </c>
      <c r="D10" s="330">
        <v>493.20817</v>
      </c>
      <c r="E10" s="9">
        <f t="shared" si="2"/>
        <v>111.02790734320831</v>
      </c>
      <c r="F10" s="9">
        <f t="shared" si="1"/>
        <v>48.988169999999968</v>
      </c>
    </row>
    <row r="11" spans="1:6">
      <c r="A11" s="7">
        <v>1030226001</v>
      </c>
      <c r="B11" s="8" t="s">
        <v>290</v>
      </c>
      <c r="C11" s="329">
        <v>0</v>
      </c>
      <c r="D11" s="328">
        <v>-75.753489999999999</v>
      </c>
      <c r="E11" s="9" t="e">
        <f t="shared" si="2"/>
        <v>#DIV/0!</v>
      </c>
      <c r="F11" s="9">
        <f t="shared" si="1"/>
        <v>-75.753489999999999</v>
      </c>
    </row>
    <row r="12" spans="1:6" s="6" customFormat="1">
      <c r="A12" s="68">
        <v>1050000000</v>
      </c>
      <c r="B12" s="67" t="s">
        <v>7</v>
      </c>
      <c r="C12" s="280">
        <f>SUM(C13:C13)</f>
        <v>50</v>
      </c>
      <c r="D12" s="280">
        <f>D13</f>
        <v>28.16273</v>
      </c>
      <c r="E12" s="5">
        <f t="shared" si="0"/>
        <v>56.325460000000007</v>
      </c>
      <c r="F12" s="5">
        <f t="shared" si="1"/>
        <v>-21.83727</v>
      </c>
    </row>
    <row r="13" spans="1:6" ht="15.75" customHeight="1">
      <c r="A13" s="7">
        <v>1050300000</v>
      </c>
      <c r="B13" s="11" t="s">
        <v>230</v>
      </c>
      <c r="C13" s="331">
        <v>50</v>
      </c>
      <c r="D13" s="330">
        <v>28.16273</v>
      </c>
      <c r="E13" s="9">
        <f t="shared" si="0"/>
        <v>56.325460000000007</v>
      </c>
      <c r="F13" s="9">
        <f t="shared" si="1"/>
        <v>-21.83727</v>
      </c>
    </row>
    <row r="14" spans="1:6" s="6" customFormat="1" ht="15.75" customHeight="1">
      <c r="A14" s="68">
        <v>1060000000</v>
      </c>
      <c r="B14" s="67" t="s">
        <v>136</v>
      </c>
      <c r="C14" s="280">
        <f>C15+C16</f>
        <v>2916</v>
      </c>
      <c r="D14" s="280">
        <f>D15+D16</f>
        <v>2967.02387</v>
      </c>
      <c r="E14" s="5">
        <f t="shared" si="0"/>
        <v>101.74978978052127</v>
      </c>
      <c r="F14" s="5">
        <f t="shared" si="1"/>
        <v>51.023869999999988</v>
      </c>
    </row>
    <row r="15" spans="1:6" s="6" customFormat="1" ht="15.75" customHeight="1">
      <c r="A15" s="7">
        <v>1060100000</v>
      </c>
      <c r="B15" s="11" t="s">
        <v>9</v>
      </c>
      <c r="C15" s="329">
        <v>255</v>
      </c>
      <c r="D15" s="330">
        <v>311.41969999999998</v>
      </c>
      <c r="E15" s="9">
        <f t="shared" si="0"/>
        <v>122.1253725490196</v>
      </c>
      <c r="F15" s="9">
        <f>SUM(D15-C15)</f>
        <v>56.419699999999978</v>
      </c>
    </row>
    <row r="16" spans="1:6" ht="15.75" customHeight="1">
      <c r="A16" s="7">
        <v>1060600000</v>
      </c>
      <c r="B16" s="11" t="s">
        <v>8</v>
      </c>
      <c r="C16" s="329">
        <v>2661</v>
      </c>
      <c r="D16" s="330">
        <v>2655.6041700000001</v>
      </c>
      <c r="E16" s="9">
        <f t="shared" si="0"/>
        <v>99.797225479143179</v>
      </c>
      <c r="F16" s="9">
        <f t="shared" si="1"/>
        <v>-5.3958299999999326</v>
      </c>
    </row>
    <row r="17" spans="1:6" s="6" customFormat="1">
      <c r="A17" s="3">
        <v>1080000000</v>
      </c>
      <c r="B17" s="4" t="s">
        <v>11</v>
      </c>
      <c r="C17" s="280">
        <f>C18</f>
        <v>25</v>
      </c>
      <c r="D17" s="280">
        <f>D18</f>
        <v>23.6</v>
      </c>
      <c r="E17" s="5">
        <f t="shared" si="0"/>
        <v>94.4</v>
      </c>
      <c r="F17" s="5">
        <f t="shared" si="1"/>
        <v>-1.3999999999999986</v>
      </c>
    </row>
    <row r="18" spans="1:6" ht="18" customHeight="1">
      <c r="A18" s="7">
        <v>1080400001</v>
      </c>
      <c r="B18" s="8" t="s">
        <v>228</v>
      </c>
      <c r="C18" s="329">
        <v>25</v>
      </c>
      <c r="D18" s="330">
        <v>23.6</v>
      </c>
      <c r="E18" s="9">
        <f t="shared" si="0"/>
        <v>94.4</v>
      </c>
      <c r="F18" s="9">
        <f t="shared" si="1"/>
        <v>-1.3999999999999986</v>
      </c>
    </row>
    <row r="19" spans="1:6" ht="47.25" hidden="1" customHeight="1">
      <c r="A19" s="7">
        <v>1080714001</v>
      </c>
      <c r="B19" s="8" t="s">
        <v>12</v>
      </c>
      <c r="C19" s="329"/>
      <c r="D19" s="33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280">
        <f>C21+C22+C23+C24</f>
        <v>0</v>
      </c>
      <c r="D20" s="280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280"/>
      <c r="D21" s="332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280"/>
      <c r="D22" s="332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280"/>
      <c r="D23" s="332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280"/>
      <c r="D24" s="332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280">
        <f>C26+C29+C31+C36</f>
        <v>72</v>
      </c>
      <c r="D25" s="93">
        <f>D26+D29+D31+D36+D34</f>
        <v>-194.05412000000001</v>
      </c>
      <c r="E25" s="5">
        <f t="shared" si="0"/>
        <v>-269.51961111111109</v>
      </c>
      <c r="F25" s="5">
        <f t="shared" si="1"/>
        <v>-266.05412000000001</v>
      </c>
    </row>
    <row r="26" spans="1:6" s="6" customFormat="1" ht="30" customHeight="1">
      <c r="A26" s="68">
        <v>1110000000</v>
      </c>
      <c r="B26" s="69" t="s">
        <v>129</v>
      </c>
      <c r="C26" s="280">
        <f>C27+C28</f>
        <v>72</v>
      </c>
      <c r="D26" s="93">
        <f>D27+D28</f>
        <v>-244.88718</v>
      </c>
      <c r="E26" s="5">
        <f t="shared" si="0"/>
        <v>-340.12108333333333</v>
      </c>
      <c r="F26" s="5">
        <f t="shared" si="1"/>
        <v>-316.88718</v>
      </c>
    </row>
    <row r="27" spans="1:6" ht="15" customHeight="1">
      <c r="A27" s="16">
        <v>1110502510</v>
      </c>
      <c r="B27" s="17" t="s">
        <v>226</v>
      </c>
      <c r="C27" s="331">
        <v>70</v>
      </c>
      <c r="D27" s="328">
        <v>-255.88718</v>
      </c>
      <c r="E27" s="9">
        <f t="shared" si="0"/>
        <v>-365.55311428571429</v>
      </c>
      <c r="F27" s="9">
        <f t="shared" si="1"/>
        <v>-325.88718</v>
      </c>
    </row>
    <row r="28" spans="1:6" ht="15.75" customHeight="1">
      <c r="A28" s="7">
        <v>1110503505</v>
      </c>
      <c r="B28" s="11" t="s">
        <v>225</v>
      </c>
      <c r="C28" s="331">
        <v>2</v>
      </c>
      <c r="D28" s="330">
        <v>11</v>
      </c>
      <c r="E28" s="9">
        <f t="shared" si="0"/>
        <v>550</v>
      </c>
      <c r="F28" s="9">
        <f t="shared" si="1"/>
        <v>9</v>
      </c>
    </row>
    <row r="29" spans="1:6" s="15" customFormat="1" ht="29.25">
      <c r="A29" s="68">
        <v>1130000000</v>
      </c>
      <c r="B29" s="69" t="s">
        <v>131</v>
      </c>
      <c r="C29" s="280">
        <f>C30</f>
        <v>0</v>
      </c>
      <c r="D29" s="280">
        <f>D30</f>
        <v>51.226059999999997</v>
      </c>
      <c r="E29" s="5" t="e">
        <f t="shared" si="0"/>
        <v>#DIV/0!</v>
      </c>
      <c r="F29" s="5">
        <f t="shared" si="1"/>
        <v>51.226059999999997</v>
      </c>
    </row>
    <row r="30" spans="1:6" ht="17.25" customHeight="1">
      <c r="A30" s="7">
        <v>1130206005</v>
      </c>
      <c r="B30" s="8" t="s">
        <v>224</v>
      </c>
      <c r="C30" s="329">
        <v>0</v>
      </c>
      <c r="D30" s="330">
        <v>51.226059999999997</v>
      </c>
      <c r="E30" s="9" t="e">
        <f t="shared" si="0"/>
        <v>#DIV/0!</v>
      </c>
      <c r="F30" s="9">
        <f t="shared" si="1"/>
        <v>51.226059999999997</v>
      </c>
    </row>
    <row r="31" spans="1:6" ht="28.5">
      <c r="A31" s="70">
        <v>1140000000</v>
      </c>
      <c r="B31" s="71" t="s">
        <v>132</v>
      </c>
      <c r="C31" s="280">
        <f>C32+C33</f>
        <v>0</v>
      </c>
      <c r="D31" s="280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222</v>
      </c>
      <c r="C32" s="329">
        <v>0</v>
      </c>
      <c r="D32" s="33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329">
        <v>0</v>
      </c>
      <c r="D33" s="33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280">
        <f>C35</f>
        <v>0</v>
      </c>
      <c r="D34" s="280">
        <f>D35</f>
        <v>0</v>
      </c>
      <c r="E34" s="5" t="e">
        <f>SUM(D34/C34*100)</f>
        <v>#DIV/0!</v>
      </c>
      <c r="F34" s="5">
        <f>SUM(D34-C34)</f>
        <v>0</v>
      </c>
    </row>
    <row r="35" spans="1:7" ht="47.25">
      <c r="A35" s="7">
        <v>1163305010</v>
      </c>
      <c r="B35" s="8" t="s">
        <v>268</v>
      </c>
      <c r="C35" s="329">
        <v>0</v>
      </c>
      <c r="D35" s="330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135</v>
      </c>
      <c r="C36" s="280">
        <f>C37+C38</f>
        <v>0</v>
      </c>
      <c r="D36" s="93">
        <f>D37</f>
        <v>-0.39300000000000002</v>
      </c>
      <c r="E36" s="5" t="e">
        <f t="shared" si="0"/>
        <v>#DIV/0!</v>
      </c>
      <c r="F36" s="5">
        <f t="shared" si="1"/>
        <v>-0.39300000000000002</v>
      </c>
    </row>
    <row r="37" spans="1:7" ht="19.5" customHeight="1">
      <c r="A37" s="7">
        <v>1170105005</v>
      </c>
      <c r="B37" s="8" t="s">
        <v>18</v>
      </c>
      <c r="C37" s="329">
        <f>C38</f>
        <v>0</v>
      </c>
      <c r="D37" s="339">
        <v>-0.39300000000000002</v>
      </c>
      <c r="E37" s="9" t="e">
        <f t="shared" si="0"/>
        <v>#DIV/0!</v>
      </c>
      <c r="F37" s="9">
        <f t="shared" si="1"/>
        <v>-0.39300000000000002</v>
      </c>
    </row>
    <row r="38" spans="1:7" ht="17.25" customHeight="1">
      <c r="A38" s="7">
        <v>1170505005</v>
      </c>
      <c r="B38" s="11" t="s">
        <v>221</v>
      </c>
      <c r="C38" s="329">
        <v>0</v>
      </c>
      <c r="D38" s="33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333">
        <f>SUM(C4,C25)</f>
        <v>4238.8600000000006</v>
      </c>
      <c r="D39" s="333">
        <f>D4+D25</f>
        <v>4050.0257499999998</v>
      </c>
      <c r="E39" s="5">
        <f t="shared" si="0"/>
        <v>95.545164265863917</v>
      </c>
      <c r="F39" s="5">
        <f t="shared" si="1"/>
        <v>-188.83425000000079</v>
      </c>
    </row>
    <row r="40" spans="1:7" s="6" customFormat="1">
      <c r="A40" s="3">
        <v>2000000000</v>
      </c>
      <c r="B40" s="4" t="s">
        <v>20</v>
      </c>
      <c r="C40" s="394">
        <f>C41+C43+C45+C46+C47+C48+C42+C44</f>
        <v>2772.4279799999999</v>
      </c>
      <c r="D40" s="280">
        <f>D41+D43+D45+D46+D47+D48+D42</f>
        <v>3128.6260000000002</v>
      </c>
      <c r="E40" s="5">
        <f t="shared" si="0"/>
        <v>112.8478727876639</v>
      </c>
      <c r="F40" s="5">
        <f t="shared" si="1"/>
        <v>356.19802000000027</v>
      </c>
      <c r="G40" s="19"/>
    </row>
    <row r="41" spans="1:7">
      <c r="A41" s="16">
        <v>2021000000</v>
      </c>
      <c r="B41" s="17" t="s">
        <v>21</v>
      </c>
      <c r="C41" s="334">
        <v>1128.914</v>
      </c>
      <c r="D41" s="335">
        <v>1128.914</v>
      </c>
      <c r="E41" s="9">
        <f t="shared" si="0"/>
        <v>100</v>
      </c>
      <c r="F41" s="9">
        <f t="shared" si="1"/>
        <v>0</v>
      </c>
    </row>
    <row r="42" spans="1:7" ht="17.25" customHeight="1">
      <c r="A42" s="16">
        <v>2021500200</v>
      </c>
      <c r="B42" s="17" t="s">
        <v>232</v>
      </c>
      <c r="C42" s="334">
        <v>0</v>
      </c>
      <c r="D42" s="335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22</v>
      </c>
      <c r="C43" s="334">
        <v>1215.7209800000001</v>
      </c>
      <c r="D43" s="330">
        <v>1215.6990000000001</v>
      </c>
      <c r="E43" s="9">
        <f t="shared" si="0"/>
        <v>99.998192019356281</v>
      </c>
      <c r="F43" s="9">
        <f t="shared" si="1"/>
        <v>-2.1979999999985012E-2</v>
      </c>
    </row>
    <row r="44" spans="1:7" ht="0.75" hidden="1" customHeight="1">
      <c r="A44" s="16">
        <v>2022999910</v>
      </c>
      <c r="B44" s="18" t="s">
        <v>352</v>
      </c>
      <c r="C44" s="334">
        <v>0</v>
      </c>
      <c r="D44" s="330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23</v>
      </c>
      <c r="C45" s="331">
        <v>177.46700000000001</v>
      </c>
      <c r="D45" s="336">
        <v>177.46700000000001</v>
      </c>
      <c r="E45" s="9">
        <f t="shared" si="0"/>
        <v>100</v>
      </c>
      <c r="F45" s="9">
        <f t="shared" si="1"/>
        <v>0</v>
      </c>
    </row>
    <row r="46" spans="1:7" ht="12.75" customHeight="1">
      <c r="A46" s="16">
        <v>2020400000</v>
      </c>
      <c r="B46" s="17" t="s">
        <v>24</v>
      </c>
      <c r="C46" s="331"/>
      <c r="D46" s="337"/>
      <c r="E46" s="9" t="e">
        <f t="shared" si="0"/>
        <v>#DIV/0!</v>
      </c>
      <c r="F46" s="9">
        <f t="shared" si="1"/>
        <v>0</v>
      </c>
    </row>
    <row r="47" spans="1:7" ht="17.25" customHeight="1">
      <c r="A47" s="7">
        <v>2070500010</v>
      </c>
      <c r="B47" s="17" t="s">
        <v>359</v>
      </c>
      <c r="C47" s="331">
        <v>250.32599999999999</v>
      </c>
      <c r="D47" s="337">
        <v>606.54600000000005</v>
      </c>
      <c r="E47" s="9">
        <f t="shared" si="0"/>
        <v>242.3024376213418</v>
      </c>
      <c r="F47" s="9">
        <f t="shared" si="1"/>
        <v>356.22</v>
      </c>
    </row>
    <row r="48" spans="1:7" ht="21" customHeight="1">
      <c r="A48" s="7">
        <v>2190500005</v>
      </c>
      <c r="B48" s="11" t="s">
        <v>26</v>
      </c>
      <c r="C48" s="332"/>
      <c r="D48" s="332"/>
      <c r="E48" s="5"/>
      <c r="F48" s="5">
        <f>SUM(D48-C48)</f>
        <v>0</v>
      </c>
    </row>
    <row r="49" spans="1:8" s="6" customFormat="1" ht="17.25" customHeight="1">
      <c r="A49" s="3">
        <v>3000000000</v>
      </c>
      <c r="B49" s="13" t="s">
        <v>27</v>
      </c>
      <c r="C49" s="338">
        <v>0</v>
      </c>
      <c r="D49" s="332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28</v>
      </c>
      <c r="C50" s="377">
        <f>C39+C40</f>
        <v>7011.287980000001</v>
      </c>
      <c r="D50" s="374">
        <f>D39+D40</f>
        <v>7178.65175</v>
      </c>
      <c r="E50" s="280">
        <f t="shared" si="0"/>
        <v>102.38706169932559</v>
      </c>
      <c r="F50" s="93">
        <f t="shared" si="1"/>
        <v>167.36376999999902</v>
      </c>
      <c r="G50" s="151"/>
      <c r="H50" s="293"/>
    </row>
    <row r="51" spans="1:8" s="6" customFormat="1">
      <c r="A51" s="3"/>
      <c r="B51" s="21" t="s">
        <v>321</v>
      </c>
      <c r="C51" s="93">
        <f>C50-C96</f>
        <v>-676.83369999999923</v>
      </c>
      <c r="D51" s="93">
        <f>D50-D96</f>
        <v>-261.62143999999989</v>
      </c>
      <c r="E51" s="32"/>
      <c r="F51" s="32"/>
    </row>
    <row r="52" spans="1:8">
      <c r="A52" s="23"/>
      <c r="B52" s="24"/>
      <c r="C52" s="326"/>
      <c r="D52" s="326"/>
      <c r="E52" s="26"/>
      <c r="F52" s="27"/>
    </row>
    <row r="53" spans="1:8" ht="45.75" customHeight="1">
      <c r="A53" s="28" t="s">
        <v>1</v>
      </c>
      <c r="B53" s="28" t="s">
        <v>29</v>
      </c>
      <c r="C53" s="243" t="s">
        <v>346</v>
      </c>
      <c r="D53" s="244" t="s">
        <v>415</v>
      </c>
      <c r="E53" s="72" t="s">
        <v>3</v>
      </c>
      <c r="F53" s="74" t="s">
        <v>4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30</v>
      </c>
      <c r="B55" s="31" t="s">
        <v>31</v>
      </c>
      <c r="C55" s="32">
        <f>C56+C57+C58+C59+C60+C62+C61</f>
        <v>1629.2279999999998</v>
      </c>
      <c r="D55" s="32">
        <f>D56+D57+D58+D59+D60+D62+D61</f>
        <v>1598.3935200000001</v>
      </c>
      <c r="E55" s="34">
        <f>SUM(D55/C55*100)</f>
        <v>98.107417746319129</v>
      </c>
      <c r="F55" s="34">
        <f>SUM(D55-C55)</f>
        <v>-30.834479999999758</v>
      </c>
    </row>
    <row r="56" spans="1:8" s="6" customFormat="1" ht="31.5" hidden="1">
      <c r="A56" s="35" t="s">
        <v>32</v>
      </c>
      <c r="B56" s="36" t="s">
        <v>33</v>
      </c>
      <c r="C56" s="37"/>
      <c r="D56" s="37"/>
      <c r="E56" s="38"/>
      <c r="F56" s="38"/>
    </row>
    <row r="57" spans="1:8" ht="15.75" customHeight="1">
      <c r="A57" s="35" t="s">
        <v>34</v>
      </c>
      <c r="B57" s="39" t="s">
        <v>35</v>
      </c>
      <c r="C57" s="37">
        <v>1619.0419999999999</v>
      </c>
      <c r="D57" s="37">
        <v>1593.2865200000001</v>
      </c>
      <c r="E57" s="38">
        <f t="shared" ref="E57:E69" si="3">SUM(D57/C57*100)</f>
        <v>98.40921483198089</v>
      </c>
      <c r="F57" s="38">
        <f t="shared" ref="F57:F69" si="4">SUM(D57-C57)</f>
        <v>-25.755479999999807</v>
      </c>
    </row>
    <row r="58" spans="1:8" ht="0.75" hidden="1" customHeight="1">
      <c r="A58" s="35" t="s">
        <v>36</v>
      </c>
      <c r="B58" s="39" t="s">
        <v>37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38</v>
      </c>
      <c r="B59" s="39" t="s">
        <v>39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customHeight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42</v>
      </c>
      <c r="B61" s="39" t="s">
        <v>43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44</v>
      </c>
      <c r="B62" s="39" t="s">
        <v>45</v>
      </c>
      <c r="C62" s="37">
        <v>5.1859999999999999</v>
      </c>
      <c r="D62" s="37">
        <v>5.1070000000000002</v>
      </c>
      <c r="E62" s="38">
        <f t="shared" si="3"/>
        <v>98.476667952178957</v>
      </c>
      <c r="F62" s="38">
        <f t="shared" si="4"/>
        <v>-7.8999999999999737E-2</v>
      </c>
    </row>
    <row r="63" spans="1:8" s="6" customFormat="1">
      <c r="A63" s="41" t="s">
        <v>46</v>
      </c>
      <c r="B63" s="42" t="s">
        <v>47</v>
      </c>
      <c r="C63" s="32">
        <f>C64</f>
        <v>170.749</v>
      </c>
      <c r="D63" s="32">
        <f>D64</f>
        <v>170.749</v>
      </c>
      <c r="E63" s="34">
        <f t="shared" si="3"/>
        <v>100</v>
      </c>
      <c r="F63" s="34">
        <f t="shared" si="4"/>
        <v>0</v>
      </c>
    </row>
    <row r="64" spans="1:8">
      <c r="A64" s="43" t="s">
        <v>48</v>
      </c>
      <c r="B64" s="44" t="s">
        <v>49</v>
      </c>
      <c r="C64" s="37">
        <v>170.749</v>
      </c>
      <c r="D64" s="37">
        <v>170.749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30" t="s">
        <v>50</v>
      </c>
      <c r="B65" s="31" t="s">
        <v>51</v>
      </c>
      <c r="C65" s="32">
        <f>C68+C69</f>
        <v>2.4</v>
      </c>
      <c r="D65" s="32">
        <f>D68+D69</f>
        <v>2.4</v>
      </c>
      <c r="E65" s="34">
        <f t="shared" si="3"/>
        <v>100</v>
      </c>
      <c r="F65" s="34">
        <f t="shared" si="4"/>
        <v>0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3"/>
        <v>#DIV/0!</v>
      </c>
      <c r="F68" s="34">
        <f t="shared" si="4"/>
        <v>0</v>
      </c>
    </row>
    <row r="69" spans="1:7" s="6" customFormat="1" ht="15.75" customHeight="1">
      <c r="A69" s="46" t="s">
        <v>219</v>
      </c>
      <c r="B69" s="47" t="s">
        <v>220</v>
      </c>
      <c r="C69" s="37">
        <v>2.4</v>
      </c>
      <c r="D69" s="37">
        <v>2.4</v>
      </c>
      <c r="E69" s="38">
        <f t="shared" si="3"/>
        <v>100</v>
      </c>
      <c r="F69" s="38">
        <f t="shared" si="4"/>
        <v>0</v>
      </c>
    </row>
    <row r="70" spans="1:7">
      <c r="A70" s="30" t="s">
        <v>58</v>
      </c>
      <c r="B70" s="31" t="s">
        <v>59</v>
      </c>
      <c r="C70" s="48">
        <f>SUM(C71:C74)</f>
        <v>2668.8626799999997</v>
      </c>
      <c r="D70" s="48">
        <f>SUM(D71:D74)</f>
        <v>2629.53442</v>
      </c>
      <c r="E70" s="34">
        <f t="shared" ref="E70:E85" si="5">SUM(D70/C70*100)</f>
        <v>98.526403763868444</v>
      </c>
      <c r="F70" s="34">
        <f t="shared" ref="F70:F85" si="6">SUM(D70-C70)</f>
        <v>-39.328259999999773</v>
      </c>
    </row>
    <row r="71" spans="1:7" s="6" customFormat="1" ht="17.25" customHeight="1">
      <c r="A71" s="35" t="s">
        <v>60</v>
      </c>
      <c r="B71" s="39" t="s">
        <v>61</v>
      </c>
      <c r="C71" s="49">
        <v>16.25</v>
      </c>
      <c r="D71" s="37">
        <v>16.25</v>
      </c>
      <c r="E71" s="38">
        <f t="shared" si="5"/>
        <v>100</v>
      </c>
      <c r="F71" s="38">
        <f t="shared" si="6"/>
        <v>0</v>
      </c>
      <c r="G71" s="50"/>
    </row>
    <row r="72" spans="1:7">
      <c r="A72" s="35" t="s">
        <v>62</v>
      </c>
      <c r="B72" s="39" t="s">
        <v>63</v>
      </c>
      <c r="C72" s="49">
        <v>438.5</v>
      </c>
      <c r="D72" s="37">
        <v>424.35595999999998</v>
      </c>
      <c r="E72" s="38">
        <f t="shared" si="5"/>
        <v>96.774449258836938</v>
      </c>
      <c r="F72" s="38">
        <f t="shared" si="6"/>
        <v>-14.144040000000018</v>
      </c>
    </row>
    <row r="73" spans="1:7">
      <c r="A73" s="35" t="s">
        <v>64</v>
      </c>
      <c r="B73" s="39" t="s">
        <v>65</v>
      </c>
      <c r="C73" s="49">
        <v>2200.5126799999998</v>
      </c>
      <c r="D73" s="37">
        <v>2186.9284600000001</v>
      </c>
      <c r="E73" s="38">
        <f t="shared" si="5"/>
        <v>99.382679312713634</v>
      </c>
      <c r="F73" s="38">
        <f t="shared" si="6"/>
        <v>-13.584219999999732</v>
      </c>
    </row>
    <row r="74" spans="1:7" s="6" customFormat="1">
      <c r="A74" s="35" t="s">
        <v>66</v>
      </c>
      <c r="B74" s="39" t="s">
        <v>67</v>
      </c>
      <c r="C74" s="49">
        <v>13.6</v>
      </c>
      <c r="D74" s="37">
        <v>2</v>
      </c>
      <c r="E74" s="38">
        <f t="shared" si="5"/>
        <v>14.705882352941178</v>
      </c>
      <c r="F74" s="38">
        <f t="shared" si="6"/>
        <v>-11.6</v>
      </c>
    </row>
    <row r="75" spans="1:7" ht="17.25" customHeight="1">
      <c r="A75" s="30" t="s">
        <v>68</v>
      </c>
      <c r="B75" s="31" t="s">
        <v>69</v>
      </c>
      <c r="C75" s="32">
        <f>SUM(C76:C78)</f>
        <v>1092.3820000000001</v>
      </c>
      <c r="D75" s="32">
        <f>SUM(D76:D78)</f>
        <v>923.69624999999996</v>
      </c>
      <c r="E75" s="34">
        <f t="shared" si="5"/>
        <v>84.557988872024609</v>
      </c>
      <c r="F75" s="34">
        <f t="shared" si="6"/>
        <v>-168.6857500000001</v>
      </c>
    </row>
    <row r="76" spans="1:7" ht="0.75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5"/>
        <v>#DIV/0!</v>
      </c>
      <c r="F76" s="38">
        <f t="shared" si="6"/>
        <v>0</v>
      </c>
    </row>
    <row r="77" spans="1:7" ht="17.25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s="6" customFormat="1">
      <c r="A78" s="35" t="s">
        <v>74</v>
      </c>
      <c r="B78" s="39" t="s">
        <v>75</v>
      </c>
      <c r="C78" s="37">
        <v>1092.3820000000001</v>
      </c>
      <c r="D78" s="37">
        <v>923.69624999999996</v>
      </c>
      <c r="E78" s="38">
        <f t="shared" si="5"/>
        <v>84.557988872024609</v>
      </c>
      <c r="F78" s="38">
        <f t="shared" si="6"/>
        <v>-168.6857500000001</v>
      </c>
    </row>
    <row r="79" spans="1:7">
      <c r="A79" s="30" t="s">
        <v>86</v>
      </c>
      <c r="B79" s="31" t="s">
        <v>87</v>
      </c>
      <c r="C79" s="32">
        <f>C80</f>
        <v>2124.5</v>
      </c>
      <c r="D79" s="32">
        <f>D80</f>
        <v>2115.5</v>
      </c>
      <c r="E79" s="34">
        <f t="shared" si="5"/>
        <v>99.576370910802538</v>
      </c>
      <c r="F79" s="34">
        <f t="shared" si="6"/>
        <v>-9</v>
      </c>
    </row>
    <row r="80" spans="1:7" s="6" customFormat="1" ht="15" customHeight="1">
      <c r="A80" s="35" t="s">
        <v>88</v>
      </c>
      <c r="B80" s="39" t="s">
        <v>234</v>
      </c>
      <c r="C80" s="37">
        <v>2124.5</v>
      </c>
      <c r="D80" s="37">
        <v>2115.5</v>
      </c>
      <c r="E80" s="38">
        <f t="shared" si="5"/>
        <v>99.576370910802538</v>
      </c>
      <c r="F80" s="38">
        <f t="shared" si="6"/>
        <v>-9</v>
      </c>
    </row>
    <row r="81" spans="1:6" ht="20.25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5"/>
        <v>#DIV/0!</v>
      </c>
      <c r="F81" s="34">
        <f t="shared" si="6"/>
        <v>0</v>
      </c>
    </row>
    <row r="82" spans="1:6" ht="18" hidden="1" customHeight="1">
      <c r="A82" s="53">
        <v>1001</v>
      </c>
      <c r="B82" s="54" t="s">
        <v>90</v>
      </c>
      <c r="C82" s="37">
        <v>0</v>
      </c>
      <c r="D82" s="37">
        <v>0</v>
      </c>
      <c r="E82" s="38" t="e">
        <f t="shared" si="5"/>
        <v>#DIV/0!</v>
      </c>
      <c r="F82" s="38">
        <f t="shared" si="6"/>
        <v>0</v>
      </c>
    </row>
    <row r="83" spans="1:6" ht="17.25" hidden="1" customHeight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1004</v>
      </c>
      <c r="B84" s="54" t="s">
        <v>92</v>
      </c>
      <c r="C84" s="37">
        <v>0</v>
      </c>
      <c r="D84" s="55">
        <v>0</v>
      </c>
      <c r="E84" s="38" t="e">
        <f t="shared" si="5"/>
        <v>#DIV/0!</v>
      </c>
      <c r="F84" s="38">
        <f t="shared" si="6"/>
        <v>0</v>
      </c>
    </row>
    <row r="85" spans="1:6" ht="21.75" customHeight="1">
      <c r="A85" s="35" t="s">
        <v>93</v>
      </c>
      <c r="B85" s="39" t="s">
        <v>94</v>
      </c>
      <c r="C85" s="37">
        <v>0</v>
      </c>
      <c r="D85" s="37"/>
      <c r="E85" s="38" t="e">
        <f t="shared" si="5"/>
        <v>#DIV/0!</v>
      </c>
      <c r="F85" s="38">
        <f t="shared" si="6"/>
        <v>0</v>
      </c>
    </row>
    <row r="86" spans="1:6">
      <c r="A86" s="30" t="s">
        <v>95</v>
      </c>
      <c r="B86" s="31" t="s">
        <v>96</v>
      </c>
      <c r="C86" s="32">
        <f>C87+C88+C89+C90+C91</f>
        <v>0</v>
      </c>
      <c r="D86" s="32">
        <f>D87+D88+D89+D90+D91</f>
        <v>0</v>
      </c>
      <c r="E86" s="38" t="e">
        <f t="shared" ref="E86:E96" si="7">SUM(D86/C86*100)</f>
        <v>#DIV/0!</v>
      </c>
      <c r="F86" s="22">
        <f>F87+F88+F89+F90+F91</f>
        <v>0</v>
      </c>
    </row>
    <row r="87" spans="1:6" ht="15.75" customHeight="1">
      <c r="A87" s="35" t="s">
        <v>97</v>
      </c>
      <c r="B87" s="39" t="s">
        <v>98</v>
      </c>
      <c r="C87" s="37">
        <v>0</v>
      </c>
      <c r="D87" s="37">
        <v>0</v>
      </c>
      <c r="E87" s="38" t="e">
        <f t="shared" si="7"/>
        <v>#DIV/0!</v>
      </c>
      <c r="F87" s="38">
        <f>SUM(D87-C87)</f>
        <v>0</v>
      </c>
    </row>
    <row r="88" spans="1:6" ht="15" hidden="1" customHeight="1">
      <c r="A88" s="35" t="s">
        <v>99</v>
      </c>
      <c r="B88" s="39" t="s">
        <v>100</v>
      </c>
      <c r="C88" s="37"/>
      <c r="D88" s="37"/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101</v>
      </c>
      <c r="B89" s="39" t="s">
        <v>102</v>
      </c>
      <c r="C89" s="37"/>
      <c r="D89" s="37"/>
      <c r="E89" s="38" t="e">
        <f t="shared" si="7"/>
        <v>#DIV/0!</v>
      </c>
      <c r="F89" s="38"/>
    </row>
    <row r="90" spans="1:6" ht="15" hidden="1" customHeight="1">
      <c r="A90" s="35" t="s">
        <v>103</v>
      </c>
      <c r="B90" s="39" t="s">
        <v>104</v>
      </c>
      <c r="C90" s="37"/>
      <c r="D90" s="37"/>
      <c r="E90" s="38" t="e">
        <f t="shared" si="7"/>
        <v>#DIV/0!</v>
      </c>
      <c r="F90" s="38"/>
    </row>
    <row r="91" spans="1:6" s="6" customFormat="1" ht="15" hidden="1" customHeight="1">
      <c r="A91" s="35" t="s">
        <v>105</v>
      </c>
      <c r="B91" s="39" t="s">
        <v>106</v>
      </c>
      <c r="C91" s="37"/>
      <c r="D91" s="37"/>
      <c r="E91" s="38" t="e">
        <f t="shared" si="7"/>
        <v>#DIV/0!</v>
      </c>
      <c r="F91" s="38"/>
    </row>
    <row r="92" spans="1:6" ht="18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7"/>
        <v>#DIV/0!</v>
      </c>
      <c r="F92" s="34">
        <f>SUM(D92-C92)</f>
        <v>0</v>
      </c>
    </row>
    <row r="93" spans="1:6" ht="18" hidden="1" customHeight="1">
      <c r="A93" s="53">
        <v>1401</v>
      </c>
      <c r="B93" s="54" t="s">
        <v>116</v>
      </c>
      <c r="C93" s="49"/>
      <c r="D93" s="37"/>
      <c r="E93" s="38" t="e">
        <f t="shared" si="7"/>
        <v>#DIV/0!</v>
      </c>
      <c r="F93" s="38">
        <f>SUM(D93-C93)</f>
        <v>0</v>
      </c>
    </row>
    <row r="94" spans="1:6" ht="18" hidden="1" customHeight="1">
      <c r="A94" s="53">
        <v>1402</v>
      </c>
      <c r="B94" s="54" t="s">
        <v>117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s="6" customFormat="1" ht="18" hidden="1" customHeight="1">
      <c r="A95" s="53">
        <v>1403</v>
      </c>
      <c r="B95" s="54" t="s">
        <v>118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ht="15" customHeight="1">
      <c r="A96" s="52"/>
      <c r="B96" s="57" t="s">
        <v>119</v>
      </c>
      <c r="C96" s="377">
        <f>C55+C63+C65+C70+C75+C79+C81+C86+C92</f>
        <v>7688.1216800000002</v>
      </c>
      <c r="D96" s="390">
        <f>D55+D63+D65+D70+D75+D79+D81+D86+D92</f>
        <v>7440.2731899999999</v>
      </c>
      <c r="E96" s="34">
        <f t="shared" si="7"/>
        <v>96.776215305686989</v>
      </c>
      <c r="F96" s="34">
        <f>SUM(D96-C96)</f>
        <v>-247.84849000000031</v>
      </c>
    </row>
    <row r="97" spans="1:6" s="65" customFormat="1" ht="22.5" customHeight="1">
      <c r="A97" s="63" t="s">
        <v>120</v>
      </c>
      <c r="B97" s="63"/>
      <c r="C97" s="249"/>
      <c r="D97" s="249"/>
    </row>
    <row r="98" spans="1:6" ht="16.5" customHeight="1">
      <c r="A98" s="66" t="s">
        <v>121</v>
      </c>
      <c r="B98" s="66"/>
      <c r="C98" s="249" t="s">
        <v>122</v>
      </c>
      <c r="D98" s="249"/>
      <c r="E98" s="65"/>
      <c r="F98" s="65"/>
    </row>
    <row r="99" spans="1:6" ht="20.25" customHeight="1">
      <c r="C99" s="120"/>
    </row>
    <row r="100" spans="1:6" ht="13.5" customHeight="1"/>
    <row r="101" spans="1:6" ht="5.25" customHeight="1"/>
  </sheetData>
  <customSheetViews>
    <customSheetView guid="{487FB2A4-0730-401E-81DB-8304F8599D85}" hiddenRows="1">
      <selection activeCell="C6" sqref="C6"/>
      <pageMargins left="0.7" right="0.7" top="0.75" bottom="0.75" header="0.3" footer="0.3"/>
      <pageSetup paperSize="9" scale="54" orientation="portrait" r:id="rId1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2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3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4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B30CE22D-C12F-4E12-8BB9-3AAE0A6991CC}" scale="70" showPageBreaks="1" hiddenRows="1" view="pageBreakPreview" topLeftCell="A9">
      <selection activeCell="C96" sqref="C96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hiddenRows="1">
      <selection activeCell="C6" sqref="C6"/>
      <pageMargins left="0.7" right="0.7" top="0.75" bottom="0.75" header="0.3" footer="0.3"/>
      <pageSetup paperSize="9" scale="54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8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01"/>
  <sheetViews>
    <sheetView topLeftCell="A41" zoomScaleNormal="100" zoomScaleSheetLayoutView="70" workbookViewId="0">
      <selection activeCell="D97" sqref="D97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6" t="s">
        <v>423</v>
      </c>
      <c r="B1" s="516"/>
      <c r="C1" s="516"/>
      <c r="D1" s="516"/>
      <c r="E1" s="516"/>
      <c r="F1" s="516"/>
    </row>
    <row r="2" spans="1:6">
      <c r="A2" s="516"/>
      <c r="B2" s="516"/>
      <c r="C2" s="516"/>
      <c r="D2" s="516"/>
      <c r="E2" s="516"/>
      <c r="F2" s="516"/>
    </row>
    <row r="3" spans="1:6" ht="63">
      <c r="A3" s="2" t="s">
        <v>1</v>
      </c>
      <c r="B3" s="2" t="s">
        <v>2</v>
      </c>
      <c r="C3" s="72" t="s">
        <v>346</v>
      </c>
      <c r="D3" s="73" t="s">
        <v>419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4276.0099999999993</v>
      </c>
      <c r="D4" s="5">
        <f>D5+D12+D14+D7+D20+D17</f>
        <v>4566.0228200000001</v>
      </c>
      <c r="E4" s="5">
        <f>SUM(D4/C4*100)</f>
        <v>106.78232324059114</v>
      </c>
      <c r="F4" s="5">
        <f>SUM(D4-C4)</f>
        <v>290.01282000000083</v>
      </c>
    </row>
    <row r="5" spans="1:6" s="6" customFormat="1">
      <c r="A5" s="68">
        <v>1010000000</v>
      </c>
      <c r="B5" s="67" t="s">
        <v>6</v>
      </c>
      <c r="C5" s="5">
        <f>C6</f>
        <v>1624.2</v>
      </c>
      <c r="D5" s="5">
        <f>D6</f>
        <v>1824.11446</v>
      </c>
      <c r="E5" s="5">
        <f t="shared" ref="E5:E51" si="0">SUM(D5/C5*100)</f>
        <v>112.30848787095185</v>
      </c>
      <c r="F5" s="5">
        <f t="shared" ref="F5:F51" si="1">SUM(D5-C5)</f>
        <v>199.91445999999996</v>
      </c>
    </row>
    <row r="6" spans="1:6">
      <c r="A6" s="7">
        <v>1010200001</v>
      </c>
      <c r="B6" s="8" t="s">
        <v>229</v>
      </c>
      <c r="C6" s="91">
        <v>1624.2</v>
      </c>
      <c r="D6" s="10">
        <v>1824.11446</v>
      </c>
      <c r="E6" s="9">
        <f t="shared" ref="E6:E11" si="2">SUM(D6/C6*100)</f>
        <v>112.30848787095185</v>
      </c>
      <c r="F6" s="9">
        <f t="shared" si="1"/>
        <v>199.91445999999996</v>
      </c>
    </row>
    <row r="7" spans="1:6">
      <c r="A7" s="3">
        <v>1030200001</v>
      </c>
      <c r="B7" s="13" t="s">
        <v>279</v>
      </c>
      <c r="C7" s="5">
        <f>C8+C10+C9</f>
        <v>350.11</v>
      </c>
      <c r="D7" s="5">
        <f>D8+D9+D10+D11</f>
        <v>372.58960999999999</v>
      </c>
      <c r="E7" s="9">
        <f t="shared" si="2"/>
        <v>106.42072777127187</v>
      </c>
      <c r="F7" s="9">
        <f t="shared" si="1"/>
        <v>22.47960999999998</v>
      </c>
    </row>
    <row r="8" spans="1:6">
      <c r="A8" s="7">
        <v>1030223001</v>
      </c>
      <c r="B8" s="8" t="s">
        <v>283</v>
      </c>
      <c r="C8" s="9">
        <v>130.59</v>
      </c>
      <c r="D8" s="10">
        <v>166.01299</v>
      </c>
      <c r="E8" s="9">
        <f t="shared" si="2"/>
        <v>127.12534650432652</v>
      </c>
      <c r="F8" s="9">
        <f t="shared" si="1"/>
        <v>35.422989999999999</v>
      </c>
    </row>
    <row r="9" spans="1:6">
      <c r="A9" s="7">
        <v>1030224001</v>
      </c>
      <c r="B9" s="8" t="s">
        <v>289</v>
      </c>
      <c r="C9" s="9">
        <v>1.4</v>
      </c>
      <c r="D9" s="10">
        <v>1.59884</v>
      </c>
      <c r="E9" s="9">
        <f t="shared" si="2"/>
        <v>114.20285714285716</v>
      </c>
      <c r="F9" s="9">
        <f t="shared" si="1"/>
        <v>0.19884000000000013</v>
      </c>
    </row>
    <row r="10" spans="1:6">
      <c r="A10" s="7">
        <v>1030225001</v>
      </c>
      <c r="B10" s="8" t="s">
        <v>282</v>
      </c>
      <c r="C10" s="9">
        <v>218.12</v>
      </c>
      <c r="D10" s="10">
        <v>242.17410000000001</v>
      </c>
      <c r="E10" s="9">
        <f t="shared" si="2"/>
        <v>111.02792041078307</v>
      </c>
      <c r="F10" s="9">
        <f t="shared" si="1"/>
        <v>24.054100000000005</v>
      </c>
    </row>
    <row r="11" spans="1:6">
      <c r="A11" s="7">
        <v>1030226001</v>
      </c>
      <c r="B11" s="8" t="s">
        <v>291</v>
      </c>
      <c r="C11" s="9">
        <v>0</v>
      </c>
      <c r="D11" s="10">
        <v>-37.19632</v>
      </c>
      <c r="E11" s="9" t="e">
        <f t="shared" si="2"/>
        <v>#DIV/0!</v>
      </c>
      <c r="F11" s="9">
        <f t="shared" si="1"/>
        <v>-37.19632</v>
      </c>
    </row>
    <row r="12" spans="1:6" s="6" customFormat="1" ht="15" customHeight="1">
      <c r="A12" s="68">
        <v>1050000000</v>
      </c>
      <c r="B12" s="67" t="s">
        <v>7</v>
      </c>
      <c r="C12" s="5">
        <f>SUM(C13:C13)</f>
        <v>75</v>
      </c>
      <c r="D12" s="5">
        <f>SUM(D13:D13)</f>
        <v>75.441950000000006</v>
      </c>
      <c r="E12" s="5">
        <f t="shared" si="0"/>
        <v>100.58926666666667</v>
      </c>
      <c r="F12" s="5">
        <f t="shared" si="1"/>
        <v>0.44195000000000562</v>
      </c>
    </row>
    <row r="13" spans="1:6" ht="15.75" customHeight="1">
      <c r="A13" s="7">
        <v>1050300000</v>
      </c>
      <c r="B13" s="11" t="s">
        <v>230</v>
      </c>
      <c r="C13" s="12">
        <v>75</v>
      </c>
      <c r="D13" s="10">
        <v>75.441950000000006</v>
      </c>
      <c r="E13" s="9">
        <f t="shared" si="0"/>
        <v>100.58926666666667</v>
      </c>
      <c r="F13" s="9">
        <f t="shared" si="1"/>
        <v>0.44195000000000562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2226.6999999999998</v>
      </c>
      <c r="D14" s="5">
        <f>D15+D16</f>
        <v>2293.8768</v>
      </c>
      <c r="E14" s="5">
        <f t="shared" si="0"/>
        <v>103.01687699285939</v>
      </c>
      <c r="F14" s="5">
        <f t="shared" si="1"/>
        <v>67.176800000000185</v>
      </c>
    </row>
    <row r="15" spans="1:6" s="6" customFormat="1" ht="15" customHeight="1">
      <c r="A15" s="7">
        <v>1060100000</v>
      </c>
      <c r="B15" s="11" t="s">
        <v>254</v>
      </c>
      <c r="C15" s="9">
        <v>550</v>
      </c>
      <c r="D15" s="10">
        <v>698.03692000000001</v>
      </c>
      <c r="E15" s="9">
        <f t="shared" si="0"/>
        <v>126.91580363636363</v>
      </c>
      <c r="F15" s="9">
        <f>SUM(D15-C15)</f>
        <v>148.03692000000001</v>
      </c>
    </row>
    <row r="16" spans="1:6" ht="17.25" customHeight="1">
      <c r="A16" s="7">
        <v>1060600000</v>
      </c>
      <c r="B16" s="11" t="s">
        <v>8</v>
      </c>
      <c r="C16" s="9">
        <v>1676.7</v>
      </c>
      <c r="D16" s="10">
        <v>1595.83988</v>
      </c>
      <c r="E16" s="9">
        <f t="shared" si="0"/>
        <v>95.177424703286221</v>
      </c>
      <c r="F16" s="9">
        <f t="shared" si="1"/>
        <v>-80.860120000000052</v>
      </c>
    </row>
    <row r="17" spans="1:6" s="6" customFormat="1" ht="0.75" customHeight="1">
      <c r="A17" s="3">
        <v>1080000000</v>
      </c>
      <c r="B17" s="4" t="s">
        <v>11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customHeight="1">
      <c r="A18" s="7">
        <v>1080400001</v>
      </c>
      <c r="B18" s="8" t="s">
        <v>228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customHeight="1">
      <c r="A19" s="7">
        <v>1080714001</v>
      </c>
      <c r="B19" s="8" t="s">
        <v>12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customHeight="1">
      <c r="A24" s="7">
        <v>1090700000</v>
      </c>
      <c r="B24" s="8" t="s">
        <v>128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13</v>
      </c>
      <c r="C25" s="5">
        <f>C26+C29+C31+C34+C36</f>
        <v>20</v>
      </c>
      <c r="D25" s="5">
        <f>D26+D29+D31+D34+D36</f>
        <v>20.973880000000001</v>
      </c>
      <c r="E25" s="5">
        <f t="shared" si="0"/>
        <v>104.8694</v>
      </c>
      <c r="F25" s="5">
        <f t="shared" si="1"/>
        <v>0.97388000000000119</v>
      </c>
    </row>
    <row r="26" spans="1:6" s="6" customFormat="1" ht="32.25" customHeight="1">
      <c r="A26" s="68">
        <v>1110000000</v>
      </c>
      <c r="B26" s="69" t="s">
        <v>129</v>
      </c>
      <c r="C26" s="5">
        <f>C27+C28</f>
        <v>10</v>
      </c>
      <c r="D26" s="5">
        <f>D27+D28</f>
        <v>0.17016000000000001</v>
      </c>
      <c r="E26" s="5">
        <f t="shared" si="0"/>
        <v>1.7016</v>
      </c>
      <c r="F26" s="5">
        <f t="shared" si="1"/>
        <v>-9.8298400000000008</v>
      </c>
    </row>
    <row r="27" spans="1:6" ht="17.25" customHeight="1">
      <c r="A27" s="16">
        <v>1110502501</v>
      </c>
      <c r="B27" s="17" t="s">
        <v>226</v>
      </c>
      <c r="C27" s="12">
        <v>0</v>
      </c>
      <c r="D27" s="10">
        <v>0.17016000000000001</v>
      </c>
      <c r="E27" s="9" t="e">
        <f t="shared" si="0"/>
        <v>#DIV/0!</v>
      </c>
      <c r="F27" s="9">
        <f t="shared" si="1"/>
        <v>0.17016000000000001</v>
      </c>
    </row>
    <row r="28" spans="1:6">
      <c r="A28" s="7">
        <v>1110503505</v>
      </c>
      <c r="B28" s="11" t="s">
        <v>225</v>
      </c>
      <c r="C28" s="12">
        <v>10</v>
      </c>
      <c r="D28" s="10">
        <v>0</v>
      </c>
      <c r="E28" s="9">
        <f t="shared" si="0"/>
        <v>0</v>
      </c>
      <c r="F28" s="9">
        <f t="shared" si="1"/>
        <v>-10</v>
      </c>
    </row>
    <row r="29" spans="1:6" s="15" customFormat="1" ht="29.25">
      <c r="A29" s="68">
        <v>1130000000</v>
      </c>
      <c r="B29" s="69" t="s">
        <v>131</v>
      </c>
      <c r="C29" s="5">
        <f>C30</f>
        <v>10</v>
      </c>
      <c r="D29" s="5">
        <f>D30</f>
        <v>8.3664100000000001</v>
      </c>
      <c r="E29" s="5">
        <f t="shared" si="0"/>
        <v>83.664099999999991</v>
      </c>
      <c r="F29" s="5">
        <f t="shared" si="1"/>
        <v>-1.6335899999999999</v>
      </c>
    </row>
    <row r="30" spans="1:6" ht="18" customHeight="1">
      <c r="A30" s="7">
        <v>1130206005</v>
      </c>
      <c r="B30" s="8" t="s">
        <v>224</v>
      </c>
      <c r="C30" s="9">
        <v>10</v>
      </c>
      <c r="D30" s="10">
        <v>8.3664100000000001</v>
      </c>
      <c r="E30" s="9">
        <f t="shared" si="0"/>
        <v>83.664099999999991</v>
      </c>
      <c r="F30" s="9">
        <f t="shared" si="1"/>
        <v>-1.6335899999999999</v>
      </c>
    </row>
    <row r="31" spans="1:6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5">
        <f>C35</f>
        <v>0</v>
      </c>
      <c r="D34" s="14">
        <f>D35</f>
        <v>23.957180000000001</v>
      </c>
      <c r="E34" s="5" t="e">
        <f t="shared" si="0"/>
        <v>#DIV/0!</v>
      </c>
      <c r="F34" s="5">
        <f t="shared" si="1"/>
        <v>23.957180000000001</v>
      </c>
    </row>
    <row r="35" spans="1:7" ht="47.25">
      <c r="A35" s="7">
        <v>1163305010</v>
      </c>
      <c r="B35" s="8" t="s">
        <v>268</v>
      </c>
      <c r="C35" s="9">
        <v>0</v>
      </c>
      <c r="D35" s="10">
        <v>23.957180000000001</v>
      </c>
      <c r="E35" s="9" t="e">
        <f t="shared" si="0"/>
        <v>#DIV/0!</v>
      </c>
      <c r="F35" s="9">
        <f t="shared" si="1"/>
        <v>23.957180000000001</v>
      </c>
    </row>
    <row r="36" spans="1:7" ht="20.25" customHeight="1">
      <c r="A36" s="3">
        <v>1170000000</v>
      </c>
      <c r="B36" s="13" t="s">
        <v>135</v>
      </c>
      <c r="C36" s="5">
        <f>C37+C38</f>
        <v>0</v>
      </c>
      <c r="D36" s="5">
        <f>D37+D38</f>
        <v>-11.519869999999999</v>
      </c>
      <c r="E36" s="5">
        <v>0</v>
      </c>
      <c r="F36" s="5">
        <f t="shared" si="1"/>
        <v>-11.519869999999999</v>
      </c>
    </row>
    <row r="37" spans="1:7" ht="15" hidden="1" customHeight="1">
      <c r="A37" s="7">
        <v>1170105005</v>
      </c>
      <c r="B37" s="8" t="s">
        <v>18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-11.519869999999999</v>
      </c>
      <c r="E38" s="9">
        <v>0</v>
      </c>
      <c r="F38" s="9">
        <f t="shared" si="1"/>
        <v>-11.519869999999999</v>
      </c>
    </row>
    <row r="39" spans="1:7" s="6" customFormat="1" ht="18" customHeight="1">
      <c r="A39" s="3">
        <v>1000000000</v>
      </c>
      <c r="B39" s="4" t="s">
        <v>19</v>
      </c>
      <c r="C39" s="127">
        <f>SUM(C4,C25)</f>
        <v>4296.0099999999993</v>
      </c>
      <c r="D39" s="127">
        <f>D4+D25</f>
        <v>4586.9966999999997</v>
      </c>
      <c r="E39" s="5">
        <f t="shared" si="0"/>
        <v>106.77341765964232</v>
      </c>
      <c r="F39" s="5">
        <f t="shared" si="1"/>
        <v>290.98670000000038</v>
      </c>
    </row>
    <row r="40" spans="1:7" s="6" customFormat="1">
      <c r="A40" s="3">
        <v>2000000000</v>
      </c>
      <c r="B40" s="4" t="s">
        <v>20</v>
      </c>
      <c r="C40" s="5">
        <f>C41+C43+C45+C46+C47+C49+C42+C44+C48</f>
        <v>4939.7429999999995</v>
      </c>
      <c r="D40" s="5">
        <f>D41+D43+D45+D46+D47+D49+D42+D48</f>
        <v>4941.4656899999991</v>
      </c>
      <c r="E40" s="5">
        <f t="shared" si="0"/>
        <v>100.03487408150585</v>
      </c>
      <c r="F40" s="5">
        <f t="shared" si="1"/>
        <v>1.7226899999996022</v>
      </c>
      <c r="G40" s="19"/>
    </row>
    <row r="41" spans="1:7" ht="17.25" customHeight="1">
      <c r="A41" s="16">
        <v>2021000000</v>
      </c>
      <c r="B41" s="17" t="s">
        <v>21</v>
      </c>
      <c r="C41" s="12">
        <v>4512.616</v>
      </c>
      <c r="D41" s="20">
        <v>4512.616</v>
      </c>
      <c r="E41" s="9">
        <f t="shared" si="0"/>
        <v>100</v>
      </c>
      <c r="F41" s="9">
        <f t="shared" si="1"/>
        <v>0</v>
      </c>
    </row>
    <row r="42" spans="1:7" ht="15" customHeight="1">
      <c r="A42" s="16">
        <v>2021500210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22</v>
      </c>
      <c r="C43" s="279">
        <v>291.43099999999998</v>
      </c>
      <c r="D43" s="10">
        <v>291.43099999999998</v>
      </c>
      <c r="E43" s="9">
        <f t="shared" si="0"/>
        <v>100</v>
      </c>
      <c r="F43" s="9">
        <f t="shared" si="1"/>
        <v>0</v>
      </c>
    </row>
    <row r="44" spans="1:7" ht="0.75" hidden="1" customHeight="1">
      <c r="A44" s="16">
        <v>2022999910</v>
      </c>
      <c r="B44" s="18" t="s">
        <v>352</v>
      </c>
      <c r="C44" s="279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23</v>
      </c>
      <c r="C45" s="12">
        <v>15.396000000000001</v>
      </c>
      <c r="D45" s="251">
        <v>15.396000000000001</v>
      </c>
      <c r="E45" s="9">
        <f t="shared" si="0"/>
        <v>100</v>
      </c>
      <c r="F45" s="9">
        <f t="shared" si="1"/>
        <v>0</v>
      </c>
    </row>
    <row r="46" spans="1:7" ht="0.75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31.5" hidden="1">
      <c r="A47" s="16">
        <v>2020900000</v>
      </c>
      <c r="B47" s="18" t="s">
        <v>25</v>
      </c>
      <c r="C47" s="12"/>
      <c r="D47" s="252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298</v>
      </c>
      <c r="C48" s="12">
        <v>120.3</v>
      </c>
      <c r="D48" s="252">
        <v>122.02269</v>
      </c>
      <c r="E48" s="9">
        <f>SUM(D48/C48*100)</f>
        <v>101.43199501246882</v>
      </c>
      <c r="F48" s="9">
        <f>SUM(D48-C48)</f>
        <v>1.7226900000000001</v>
      </c>
    </row>
    <row r="49" spans="1:7" hidden="1">
      <c r="A49" s="7">
        <v>2190500005</v>
      </c>
      <c r="B49" s="11" t="s">
        <v>26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277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28</v>
      </c>
      <c r="C51" s="373">
        <f>SUM(C39,C40,C50)</f>
        <v>9235.7529999999988</v>
      </c>
      <c r="D51" s="374">
        <f>D39+D40</f>
        <v>9528.4623899999988</v>
      </c>
      <c r="E51" s="93">
        <f t="shared" si="0"/>
        <v>103.16930725626811</v>
      </c>
      <c r="F51" s="93">
        <f t="shared" si="1"/>
        <v>292.70938999999998</v>
      </c>
      <c r="G51" s="151"/>
    </row>
    <row r="52" spans="1:7" s="6" customFormat="1" ht="23.25" customHeight="1">
      <c r="A52" s="3"/>
      <c r="B52" s="21" t="s">
        <v>321</v>
      </c>
      <c r="C52" s="93">
        <f>C51-C97</f>
        <v>-50.512170000001788</v>
      </c>
      <c r="D52" s="93">
        <f>D51-D97</f>
        <v>489.69602999999734</v>
      </c>
      <c r="E52" s="281"/>
      <c r="F52" s="281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1</v>
      </c>
      <c r="B54" s="28" t="s">
        <v>29</v>
      </c>
      <c r="C54" s="248" t="s">
        <v>346</v>
      </c>
      <c r="D54" s="73" t="s">
        <v>415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30</v>
      </c>
      <c r="B56" s="31" t="s">
        <v>31</v>
      </c>
      <c r="C56" s="32">
        <f>C57+C58+C59+C60+C61+C63+C62+C65</f>
        <v>1958.6899599999999</v>
      </c>
      <c r="D56" s="33">
        <f>D57+D58+D59+D60+D61+D63+D62</f>
        <v>1941.4812999999999</v>
      </c>
      <c r="E56" s="34">
        <f>SUM(D56/C56*100)</f>
        <v>99.121419910683557</v>
      </c>
      <c r="F56" s="34">
        <f>SUM(D56-C56)</f>
        <v>-17.208660000000009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6.5" customHeight="1">
      <c r="A58" s="35" t="s">
        <v>34</v>
      </c>
      <c r="B58" s="39" t="s">
        <v>35</v>
      </c>
      <c r="C58" s="97">
        <v>1844.64896</v>
      </c>
      <c r="D58" s="37">
        <v>1836.9403</v>
      </c>
      <c r="E58" s="38">
        <f t="shared" ref="E58:E97" si="3">SUM(D58/C58*100)</f>
        <v>99.5821069391978</v>
      </c>
      <c r="F58" s="38">
        <f t="shared" ref="F58:F97" si="4">SUM(D58-C58)</f>
        <v>-7.7086600000000089</v>
      </c>
    </row>
    <row r="59" spans="1:7" ht="1.5" hidden="1" customHeight="1">
      <c r="A59" s="35" t="s">
        <v>36</v>
      </c>
      <c r="B59" s="39" t="s">
        <v>37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38</v>
      </c>
      <c r="B60" s="39" t="s">
        <v>39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97">
        <v>68.039000000000001</v>
      </c>
      <c r="D61" s="37">
        <v>68.039000000000001</v>
      </c>
      <c r="E61" s="38">
        <f t="shared" si="3"/>
        <v>100</v>
      </c>
      <c r="F61" s="38">
        <f t="shared" si="4"/>
        <v>0</v>
      </c>
    </row>
    <row r="62" spans="1:7" ht="18" customHeight="1">
      <c r="A62" s="35" t="s">
        <v>42</v>
      </c>
      <c r="B62" s="39" t="s">
        <v>43</v>
      </c>
      <c r="C62" s="149">
        <v>2</v>
      </c>
      <c r="D62" s="40">
        <v>0</v>
      </c>
      <c r="E62" s="38">
        <f t="shared" si="3"/>
        <v>0</v>
      </c>
      <c r="F62" s="38">
        <f t="shared" si="4"/>
        <v>-2</v>
      </c>
    </row>
    <row r="63" spans="1:7" ht="15.75" customHeight="1">
      <c r="A63" s="35" t="s">
        <v>44</v>
      </c>
      <c r="B63" s="39" t="s">
        <v>45</v>
      </c>
      <c r="C63" s="97">
        <v>44.002000000000002</v>
      </c>
      <c r="D63" s="37">
        <v>36.502000000000002</v>
      </c>
      <c r="E63" s="38">
        <f t="shared" si="3"/>
        <v>82.955320212717609</v>
      </c>
      <c r="F63" s="38">
        <f t="shared" si="4"/>
        <v>-7.5</v>
      </c>
    </row>
    <row r="64" spans="1:7" s="6" customFormat="1" ht="15.75" customHeight="1">
      <c r="A64" s="41" t="s">
        <v>46</v>
      </c>
      <c r="B64" s="42" t="s">
        <v>47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customHeight="1">
      <c r="A65" s="43" t="s">
        <v>48</v>
      </c>
      <c r="B65" s="44" t="s">
        <v>49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50</v>
      </c>
      <c r="B66" s="31" t="s">
        <v>51</v>
      </c>
      <c r="C66" s="150">
        <f>C69+C70</f>
        <v>9.9250000000000007</v>
      </c>
      <c r="D66" s="150">
        <f>D69+D70</f>
        <v>4.9249999999999998</v>
      </c>
      <c r="E66" s="34">
        <f t="shared" si="3"/>
        <v>49.622166246851378</v>
      </c>
      <c r="F66" s="34">
        <f t="shared" si="4"/>
        <v>-5.0000000000000009</v>
      </c>
    </row>
    <row r="67" spans="1:7" ht="3.75" hidden="1" customHeight="1">
      <c r="A67" s="35" t="s">
        <v>52</v>
      </c>
      <c r="B67" s="39" t="s">
        <v>53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54</v>
      </c>
      <c r="B68" s="39" t="s">
        <v>55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56</v>
      </c>
      <c r="B69" s="47" t="s">
        <v>57</v>
      </c>
      <c r="C69" s="97">
        <v>4.9249999999999998</v>
      </c>
      <c r="D69" s="37">
        <v>4.9249999999999998</v>
      </c>
      <c r="E69" s="34">
        <f t="shared" si="3"/>
        <v>100</v>
      </c>
      <c r="F69" s="34">
        <f t="shared" si="4"/>
        <v>0</v>
      </c>
    </row>
    <row r="70" spans="1:7" ht="17.25" customHeight="1">
      <c r="A70" s="46" t="s">
        <v>219</v>
      </c>
      <c r="B70" s="47" t="s">
        <v>220</v>
      </c>
      <c r="C70" s="97">
        <v>5</v>
      </c>
      <c r="D70" s="37">
        <v>0</v>
      </c>
      <c r="E70" s="34">
        <f t="shared" si="3"/>
        <v>0</v>
      </c>
      <c r="F70" s="34">
        <f t="shared" si="4"/>
        <v>-5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1611.5611699999999</v>
      </c>
      <c r="D71" s="48">
        <f>SUM(D72:D75)</f>
        <v>1415.80114</v>
      </c>
      <c r="E71" s="34">
        <f t="shared" si="3"/>
        <v>87.852770739071602</v>
      </c>
      <c r="F71" s="34">
        <f t="shared" si="4"/>
        <v>-195.76002999999992</v>
      </c>
    </row>
    <row r="72" spans="1:7" ht="15" customHeight="1">
      <c r="A72" s="35" t="s">
        <v>60</v>
      </c>
      <c r="B72" s="39" t="s">
        <v>61</v>
      </c>
      <c r="C72" s="49">
        <v>35</v>
      </c>
      <c r="D72" s="37">
        <v>35</v>
      </c>
      <c r="E72" s="38">
        <f t="shared" si="3"/>
        <v>100</v>
      </c>
      <c r="F72" s="38">
        <f t="shared" si="4"/>
        <v>0</v>
      </c>
    </row>
    <row r="73" spans="1:7" s="6" customFormat="1" ht="15.75" customHeight="1">
      <c r="A73" s="35" t="s">
        <v>62</v>
      </c>
      <c r="B73" s="39" t="s">
        <v>63</v>
      </c>
      <c r="C73" s="49">
        <v>511.90899999999999</v>
      </c>
      <c r="D73" s="37">
        <v>508.78543000000002</v>
      </c>
      <c r="E73" s="38">
        <f t="shared" si="3"/>
        <v>99.389819284286858</v>
      </c>
      <c r="F73" s="38">
        <f t="shared" si="4"/>
        <v>-3.1235699999999724</v>
      </c>
      <c r="G73" s="50"/>
    </row>
    <row r="74" spans="1:7" ht="15" customHeight="1">
      <c r="A74" s="35" t="s">
        <v>64</v>
      </c>
      <c r="B74" s="39" t="s">
        <v>65</v>
      </c>
      <c r="C74" s="49">
        <v>752.65216999999996</v>
      </c>
      <c r="D74" s="37">
        <v>566.95217000000002</v>
      </c>
      <c r="E74" s="38">
        <f t="shared" si="3"/>
        <v>75.327248441999444</v>
      </c>
      <c r="F74" s="38">
        <f t="shared" si="4"/>
        <v>-185.69999999999993</v>
      </c>
    </row>
    <row r="75" spans="1:7" ht="18" customHeight="1">
      <c r="A75" s="35" t="s">
        <v>66</v>
      </c>
      <c r="B75" s="39" t="s">
        <v>67</v>
      </c>
      <c r="C75" s="49">
        <v>312</v>
      </c>
      <c r="D75" s="37">
        <v>305.06353999999999</v>
      </c>
      <c r="E75" s="38">
        <f t="shared" si="3"/>
        <v>97.776775641025637</v>
      </c>
      <c r="F75" s="38">
        <f t="shared" si="4"/>
        <v>-6.936460000000011</v>
      </c>
    </row>
    <row r="76" spans="1:7" s="6" customFormat="1" ht="17.25" customHeight="1">
      <c r="A76" s="30" t="s">
        <v>68</v>
      </c>
      <c r="B76" s="31" t="s">
        <v>69</v>
      </c>
      <c r="C76" s="32">
        <f>C77+C78+C79+C82</f>
        <v>3331.7890400000001</v>
      </c>
      <c r="D76" s="32">
        <f>D77+D78+D79+D82</f>
        <v>3302.2589200000002</v>
      </c>
      <c r="E76" s="34">
        <f t="shared" si="3"/>
        <v>99.113685781258226</v>
      </c>
      <c r="F76" s="34">
        <f t="shared" si="4"/>
        <v>-29.530119999999897</v>
      </c>
    </row>
    <row r="77" spans="1:7" ht="18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20.25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74</v>
      </c>
      <c r="B79" s="39" t="s">
        <v>75</v>
      </c>
      <c r="C79" s="37">
        <v>3331.7890400000001</v>
      </c>
      <c r="D79" s="37">
        <v>3302.2589200000002</v>
      </c>
      <c r="E79" s="38">
        <f t="shared" si="3"/>
        <v>99.113685781258226</v>
      </c>
      <c r="F79" s="38">
        <f t="shared" si="4"/>
        <v>-29.530119999999897</v>
      </c>
    </row>
    <row r="80" spans="1:7" s="6" customFormat="1" ht="18.75" customHeight="1">
      <c r="A80" s="30" t="s">
        <v>86</v>
      </c>
      <c r="B80" s="31" t="s">
        <v>87</v>
      </c>
      <c r="C80" s="32">
        <f>C81</f>
        <v>2374.3000000000002</v>
      </c>
      <c r="D80" s="32">
        <f>D81</f>
        <v>2374.3000000000002</v>
      </c>
      <c r="E80" s="38">
        <f t="shared" si="3"/>
        <v>100</v>
      </c>
      <c r="F80" s="38">
        <f t="shared" si="4"/>
        <v>0</v>
      </c>
    </row>
    <row r="81" spans="1:6" ht="19.5" customHeight="1">
      <c r="A81" s="35" t="s">
        <v>88</v>
      </c>
      <c r="B81" s="39" t="s">
        <v>234</v>
      </c>
      <c r="C81" s="37">
        <v>2374.3000000000002</v>
      </c>
      <c r="D81" s="37">
        <v>2374.3000000000002</v>
      </c>
      <c r="E81" s="38">
        <f t="shared" si="3"/>
        <v>100</v>
      </c>
      <c r="F81" s="38">
        <f t="shared" si="4"/>
        <v>0</v>
      </c>
    </row>
    <row r="82" spans="1:6" ht="15" hidden="1" customHeight="1">
      <c r="A82" s="35" t="s">
        <v>264</v>
      </c>
      <c r="B82" s="39" t="s">
        <v>265</v>
      </c>
      <c r="C82" s="37">
        <v>0</v>
      </c>
      <c r="D82" s="37"/>
      <c r="E82" s="38" t="e">
        <f t="shared" si="3"/>
        <v>#DIV/0!</v>
      </c>
      <c r="F82" s="38">
        <f t="shared" si="4"/>
        <v>0</v>
      </c>
    </row>
    <row r="83" spans="1:6" s="6" customFormat="1" ht="12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2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1004</v>
      </c>
      <c r="B86" s="54" t="s">
        <v>92</v>
      </c>
      <c r="C86" s="37">
        <v>0</v>
      </c>
      <c r="D86" s="55">
        <v>0</v>
      </c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9.5" customHeight="1">
      <c r="A88" s="30" t="s">
        <v>95</v>
      </c>
      <c r="B88" s="31" t="s">
        <v>96</v>
      </c>
      <c r="C88" s="32">
        <f>C89+C90+C91+C92+C93</f>
        <v>0</v>
      </c>
      <c r="D88" s="32">
        <f>D89+D90+D91+D92+D93</f>
        <v>0</v>
      </c>
      <c r="E88" s="38" t="e">
        <f t="shared" si="3"/>
        <v>#DIV/0!</v>
      </c>
      <c r="F88" s="22">
        <f>F89+F90+F91+F92+F93</f>
        <v>0</v>
      </c>
    </row>
    <row r="89" spans="1:6" ht="15.75" customHeight="1">
      <c r="A89" s="35" t="s">
        <v>97</v>
      </c>
      <c r="B89" s="39" t="s">
        <v>98</v>
      </c>
      <c r="C89" s="37">
        <v>0</v>
      </c>
      <c r="D89" s="37">
        <v>0</v>
      </c>
      <c r="E89" s="38" t="e">
        <f t="shared" si="3"/>
        <v>#DIV/0!</v>
      </c>
      <c r="F89" s="38">
        <f>SUM(D89-C89)</f>
        <v>0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8" hidden="1" customHeight="1">
      <c r="A94" s="52">
        <v>1400</v>
      </c>
      <c r="B94" s="56" t="s">
        <v>115</v>
      </c>
      <c r="C94" s="48">
        <f>SUM(C95+C96)</f>
        <v>0</v>
      </c>
      <c r="D94" s="48">
        <f>SUM(D95+D96)</f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1402</v>
      </c>
      <c r="B95" s="54" t="s">
        <v>117</v>
      </c>
      <c r="C95" s="239"/>
      <c r="D95" s="240"/>
      <c r="E95" s="38" t="e">
        <f t="shared" si="3"/>
        <v>#DIV/0!</v>
      </c>
      <c r="F95" s="38">
        <f t="shared" si="4"/>
        <v>0</v>
      </c>
    </row>
    <row r="96" spans="1:6" ht="15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s="6" customFormat="1" ht="16.5" customHeight="1">
      <c r="A97" s="52"/>
      <c r="B97" s="57" t="s">
        <v>119</v>
      </c>
      <c r="C97" s="377">
        <f>C56+C71+C76+C83+C88+C94+C66+C80</f>
        <v>9286.2651700000006</v>
      </c>
      <c r="D97" s="377">
        <f>D56+D71+D76+D83+D88+D94+D66+D80</f>
        <v>9038.7663600000014</v>
      </c>
      <c r="E97" s="34">
        <f t="shared" si="3"/>
        <v>97.334786316467003</v>
      </c>
      <c r="F97" s="34">
        <f t="shared" si="4"/>
        <v>-247.49880999999914</v>
      </c>
      <c r="G97" s="293"/>
    </row>
    <row r="98" spans="1:7" ht="20.25" customHeight="1">
      <c r="D98" s="245"/>
    </row>
    <row r="99" spans="1:7" s="65" customFormat="1" ht="13.5" customHeight="1">
      <c r="A99" s="63" t="s">
        <v>120</v>
      </c>
      <c r="B99" s="63"/>
      <c r="C99" s="119"/>
      <c r="D99" s="64"/>
    </row>
    <row r="100" spans="1:7" s="65" customFormat="1" ht="12.75">
      <c r="A100" s="66" t="s">
        <v>121</v>
      </c>
      <c r="B100" s="66"/>
      <c r="C100" s="134" t="s">
        <v>122</v>
      </c>
      <c r="D100" s="134"/>
    </row>
    <row r="101" spans="1:7" ht="5.25" customHeight="1"/>
  </sheetData>
  <customSheetViews>
    <customSheetView guid="{487FB2A4-0730-401E-81DB-8304F8599D85}" hiddenRows="1" topLeftCell="A41">
      <selection activeCell="D97" sqref="D97"/>
      <pageMargins left="0.7" right="0.7" top="0.75" bottom="0.75" header="0.3" footer="0.3"/>
      <pageSetup paperSize="9" scale="50" orientation="portrait" r:id="rId1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3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4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B30CE22D-C12F-4E12-8BB9-3AAE0A6991CC}" scale="70" showPageBreaks="1" printArea="1" hiddenRows="1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0" orientation="portrait" r:id="rId8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04"/>
  <sheetViews>
    <sheetView view="pageBreakPreview" zoomScale="86" zoomScaleNormal="100" zoomScaleSheetLayoutView="86" workbookViewId="0">
      <selection activeCell="C102" sqref="C102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16" t="s">
        <v>424</v>
      </c>
      <c r="B1" s="516"/>
      <c r="C1" s="516"/>
      <c r="D1" s="516"/>
      <c r="E1" s="516"/>
      <c r="F1" s="516"/>
    </row>
    <row r="2" spans="1:6">
      <c r="A2" s="516"/>
      <c r="B2" s="516"/>
      <c r="C2" s="516"/>
      <c r="D2" s="516"/>
      <c r="E2" s="516"/>
      <c r="F2" s="516"/>
    </row>
    <row r="3" spans="1:6" ht="63">
      <c r="A3" s="2" t="s">
        <v>1</v>
      </c>
      <c r="B3" s="2" t="s">
        <v>2</v>
      </c>
      <c r="C3" s="72" t="s">
        <v>346</v>
      </c>
      <c r="D3" s="73" t="s">
        <v>419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4831.7</v>
      </c>
      <c r="D4" s="5">
        <f>D5+D12+D14+D17+D20+D7</f>
        <v>4796.1141099999995</v>
      </c>
      <c r="E4" s="5">
        <f>SUM(D4/C4*100)</f>
        <v>99.263491317755651</v>
      </c>
      <c r="F4" s="5">
        <f>SUM(D4-C4)</f>
        <v>-35.58589000000029</v>
      </c>
    </row>
    <row r="5" spans="1:6" s="6" customFormat="1">
      <c r="A5" s="68">
        <v>1010000000</v>
      </c>
      <c r="B5" s="67" t="s">
        <v>6</v>
      </c>
      <c r="C5" s="5">
        <f>C6</f>
        <v>1309.9000000000001</v>
      </c>
      <c r="D5" s="5">
        <f>D6</f>
        <v>1248.0398</v>
      </c>
      <c r="E5" s="5">
        <f t="shared" ref="E5:E51" si="0">SUM(D5/C5*100)</f>
        <v>95.277486831055796</v>
      </c>
      <c r="F5" s="5">
        <f t="shared" ref="F5:F51" si="1">SUM(D5-C5)</f>
        <v>-61.860200000000077</v>
      </c>
    </row>
    <row r="6" spans="1:6">
      <c r="A6" s="7">
        <v>1010200001</v>
      </c>
      <c r="B6" s="8" t="s">
        <v>229</v>
      </c>
      <c r="C6" s="9">
        <v>1309.9000000000001</v>
      </c>
      <c r="D6" s="10">
        <v>1248.0398</v>
      </c>
      <c r="E6" s="9">
        <f t="shared" ref="E6:E11" si="2">SUM(D6/C6*100)</f>
        <v>95.277486831055796</v>
      </c>
      <c r="F6" s="9">
        <f t="shared" si="1"/>
        <v>-61.860200000000077</v>
      </c>
    </row>
    <row r="7" spans="1:6" ht="31.5">
      <c r="A7" s="3">
        <v>1030000000</v>
      </c>
      <c r="B7" s="13" t="s">
        <v>281</v>
      </c>
      <c r="C7" s="5">
        <f>C8+C10+C9</f>
        <v>661.8</v>
      </c>
      <c r="D7" s="5">
        <f>D8+D10+D9+D11</f>
        <v>704.28518999999994</v>
      </c>
      <c r="E7" s="9">
        <f t="shared" si="2"/>
        <v>106.4196418857661</v>
      </c>
      <c r="F7" s="9">
        <f t="shared" si="1"/>
        <v>42.485189999999989</v>
      </c>
    </row>
    <row r="8" spans="1:6">
      <c r="A8" s="7">
        <v>1030223001</v>
      </c>
      <c r="B8" s="8" t="s">
        <v>283</v>
      </c>
      <c r="C8" s="9">
        <v>246.85</v>
      </c>
      <c r="D8" s="10">
        <v>313.80506000000003</v>
      </c>
      <c r="E8" s="9">
        <f t="shared" si="2"/>
        <v>127.12378367429615</v>
      </c>
      <c r="F8" s="9">
        <f t="shared" si="1"/>
        <v>66.955060000000032</v>
      </c>
    </row>
    <row r="9" spans="1:6">
      <c r="A9" s="7">
        <v>1030224001</v>
      </c>
      <c r="B9" s="8" t="s">
        <v>289</v>
      </c>
      <c r="C9" s="9">
        <v>2.65</v>
      </c>
      <c r="D9" s="10">
        <v>3.02217</v>
      </c>
      <c r="E9" s="9">
        <f t="shared" si="2"/>
        <v>114.04415094339623</v>
      </c>
      <c r="F9" s="9">
        <f t="shared" si="1"/>
        <v>0.37217000000000011</v>
      </c>
    </row>
    <row r="10" spans="1:6">
      <c r="A10" s="7">
        <v>1030225001</v>
      </c>
      <c r="B10" s="8" t="s">
        <v>282</v>
      </c>
      <c r="C10" s="9">
        <v>412.3</v>
      </c>
      <c r="D10" s="10">
        <v>457.7681</v>
      </c>
      <c r="E10" s="9">
        <f t="shared" si="2"/>
        <v>111.02791656560757</v>
      </c>
      <c r="F10" s="9">
        <f t="shared" si="1"/>
        <v>45.468099999999993</v>
      </c>
    </row>
    <row r="11" spans="1:6">
      <c r="A11" s="7">
        <v>1030226001</v>
      </c>
      <c r="B11" s="8" t="s">
        <v>292</v>
      </c>
      <c r="C11" s="9">
        <v>0</v>
      </c>
      <c r="D11" s="10">
        <v>-70.310140000000004</v>
      </c>
      <c r="E11" s="9" t="e">
        <f t="shared" si="2"/>
        <v>#DIV/0!</v>
      </c>
      <c r="F11" s="9">
        <f t="shared" si="1"/>
        <v>-70.310140000000004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28.442399999999999</v>
      </c>
      <c r="E12" s="5">
        <f t="shared" si="0"/>
        <v>284.42400000000004</v>
      </c>
      <c r="F12" s="5">
        <f t="shared" si="1"/>
        <v>18.442399999999999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28.442399999999999</v>
      </c>
      <c r="E13" s="9">
        <f t="shared" si="0"/>
        <v>284.42400000000004</v>
      </c>
      <c r="F13" s="9">
        <f t="shared" si="1"/>
        <v>18.442399999999999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2840</v>
      </c>
      <c r="D14" s="5">
        <f>D15+D16</f>
        <v>2805.7967199999998</v>
      </c>
      <c r="E14" s="5">
        <f t="shared" si="0"/>
        <v>98.795659154929567</v>
      </c>
      <c r="F14" s="5">
        <f t="shared" si="1"/>
        <v>-34.203280000000177</v>
      </c>
    </row>
    <row r="15" spans="1:6" s="6" customFormat="1" ht="15.75" customHeight="1">
      <c r="A15" s="7">
        <v>1060100000</v>
      </c>
      <c r="B15" s="11" t="s">
        <v>9</v>
      </c>
      <c r="C15" s="9">
        <v>190</v>
      </c>
      <c r="D15" s="10">
        <v>233.42133999999999</v>
      </c>
      <c r="E15" s="9">
        <f t="shared" si="0"/>
        <v>122.85333684210526</v>
      </c>
      <c r="F15" s="9">
        <f>SUM(D15-C15)</f>
        <v>43.421339999999987</v>
      </c>
    </row>
    <row r="16" spans="1:6" ht="15.75" customHeight="1">
      <c r="A16" s="7">
        <v>1060600000</v>
      </c>
      <c r="B16" s="11" t="s">
        <v>8</v>
      </c>
      <c r="C16" s="9">
        <v>2650</v>
      </c>
      <c r="D16" s="10">
        <v>2572.37538</v>
      </c>
      <c r="E16" s="9">
        <f t="shared" si="0"/>
        <v>97.070769056603766</v>
      </c>
      <c r="F16" s="9">
        <f t="shared" si="1"/>
        <v>-77.62462000000005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9.5500000000000007</v>
      </c>
      <c r="E17" s="5">
        <f t="shared" si="0"/>
        <v>95.5</v>
      </c>
      <c r="F17" s="5">
        <f t="shared" si="1"/>
        <v>-0.44999999999999929</v>
      </c>
    </row>
    <row r="18" spans="1:6" ht="15" customHeight="1">
      <c r="A18" s="7">
        <v>1080400001</v>
      </c>
      <c r="B18" s="8" t="s">
        <v>228</v>
      </c>
      <c r="C18" s="9">
        <v>10</v>
      </c>
      <c r="D18" s="10">
        <v>9.5500000000000007</v>
      </c>
      <c r="E18" s="9">
        <f t="shared" si="0"/>
        <v>95.5</v>
      </c>
      <c r="F18" s="9">
        <f t="shared" si="1"/>
        <v>-0.44999999999999929</v>
      </c>
    </row>
    <row r="19" spans="1:6" ht="1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</v>
      </c>
      <c r="D25" s="5">
        <f>D26+D29+D31+D36+D34</f>
        <v>-0.25339</v>
      </c>
      <c r="E25" s="5">
        <f t="shared" si="0"/>
        <v>-12.669499999999999</v>
      </c>
      <c r="F25" s="5">
        <f t="shared" si="1"/>
        <v>-2.25339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</v>
      </c>
      <c r="D26" s="5">
        <f>D27+D28</f>
        <v>0</v>
      </c>
      <c r="E26" s="5">
        <f t="shared" si="0"/>
        <v>0</v>
      </c>
      <c r="F26" s="5">
        <f t="shared" si="1"/>
        <v>-2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14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17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customHeight="1">
      <c r="A30" s="7">
        <v>1130206005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4.25" customHeight="1">
      <c r="A34" s="3">
        <v>1160000000</v>
      </c>
      <c r="B34" s="13" t="s">
        <v>252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53.25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-0.25339</v>
      </c>
      <c r="E36" s="5" t="e">
        <f t="shared" si="0"/>
        <v>#DIV/0!</v>
      </c>
      <c r="F36" s="5">
        <f t="shared" si="1"/>
        <v>-0.25339</v>
      </c>
    </row>
    <row r="37" spans="1:7" ht="15" customHeight="1">
      <c r="A37" s="7">
        <v>1170105005</v>
      </c>
      <c r="B37" s="8" t="s">
        <v>18</v>
      </c>
      <c r="C37" s="9">
        <v>0</v>
      </c>
      <c r="D37" s="9">
        <v>-0.25339</v>
      </c>
      <c r="E37" s="9" t="e">
        <f t="shared" si="0"/>
        <v>#DIV/0!</v>
      </c>
      <c r="F37" s="9">
        <f t="shared" si="1"/>
        <v>-0.25339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4833.7</v>
      </c>
      <c r="D39" s="127">
        <f>SUM(D4,D25)</f>
        <v>4795.8607199999997</v>
      </c>
      <c r="E39" s="5">
        <f t="shared" si="0"/>
        <v>99.21717773134452</v>
      </c>
      <c r="F39" s="5">
        <f t="shared" si="1"/>
        <v>-37.839280000000144</v>
      </c>
    </row>
    <row r="40" spans="1:7" s="6" customFormat="1" ht="20.25" customHeight="1">
      <c r="A40" s="3">
        <v>2000000000</v>
      </c>
      <c r="B40" s="4" t="s">
        <v>20</v>
      </c>
      <c r="C40" s="5">
        <f>C41+C43+C45+C46+C47+C48+C42+C44+C50</f>
        <v>1855.9918699999998</v>
      </c>
      <c r="D40" s="343">
        <f>D41+D43+D45+D46+D47+D48+D42+D44+D50</f>
        <v>1855.9918699999998</v>
      </c>
      <c r="E40" s="5">
        <f t="shared" si="0"/>
        <v>100</v>
      </c>
      <c r="F40" s="5">
        <f t="shared" si="1"/>
        <v>0</v>
      </c>
      <c r="G40" s="19"/>
    </row>
    <row r="41" spans="1:7" ht="15.75" customHeight="1">
      <c r="A41" s="16">
        <v>2021000000</v>
      </c>
      <c r="B41" s="17" t="s">
        <v>21</v>
      </c>
      <c r="C41" s="12">
        <v>35.76</v>
      </c>
      <c r="D41" s="20">
        <v>35.76</v>
      </c>
      <c r="E41" s="9">
        <f t="shared" si="0"/>
        <v>100</v>
      </c>
      <c r="F41" s="9">
        <f t="shared" si="1"/>
        <v>0</v>
      </c>
    </row>
    <row r="42" spans="1:7" ht="15.75" customHeight="1">
      <c r="A42" s="16">
        <v>2020100310</v>
      </c>
      <c r="B42" s="17" t="s">
        <v>232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22</v>
      </c>
      <c r="C43" s="12">
        <v>1371.22387</v>
      </c>
      <c r="D43" s="10">
        <v>1371.22387</v>
      </c>
      <c r="E43" s="9">
        <f t="shared" si="0"/>
        <v>100</v>
      </c>
      <c r="F43" s="9">
        <f t="shared" si="1"/>
        <v>0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23</v>
      </c>
      <c r="C45" s="12">
        <v>174.108</v>
      </c>
      <c r="D45" s="251">
        <v>174.108</v>
      </c>
      <c r="E45" s="9">
        <f t="shared" si="0"/>
        <v>100</v>
      </c>
      <c r="F45" s="9">
        <f t="shared" si="1"/>
        <v>0</v>
      </c>
    </row>
    <row r="46" spans="1:7" ht="12.75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15" customHeight="1">
      <c r="A47" s="16">
        <v>2020900000</v>
      </c>
      <c r="B47" s="18" t="s">
        <v>25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5.75" customHeight="1">
      <c r="A48" s="7">
        <v>2190500005</v>
      </c>
      <c r="B48" s="11" t="s">
        <v>26</v>
      </c>
      <c r="C48" s="14">
        <v>0</v>
      </c>
      <c r="D48" s="14">
        <v>0</v>
      </c>
      <c r="E48" s="5" t="e">
        <f>SUM(D48/C48*100)</f>
        <v>#DIV/0!</v>
      </c>
      <c r="F48" s="5">
        <f>SUM(D48-C48)</f>
        <v>0</v>
      </c>
    </row>
    <row r="49" spans="1:7" s="6" customFormat="1" ht="15" customHeight="1">
      <c r="A49" s="3">
        <v>3000000000</v>
      </c>
      <c r="B49" s="13" t="s">
        <v>27</v>
      </c>
      <c r="C49" s="277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7.25" customHeight="1">
      <c r="A50" s="7">
        <v>2070500010</v>
      </c>
      <c r="B50" s="8" t="s">
        <v>354</v>
      </c>
      <c r="C50" s="12">
        <v>274.89999999999998</v>
      </c>
      <c r="D50" s="10">
        <v>274.89999999999998</v>
      </c>
      <c r="E50" s="9">
        <f t="shared" si="0"/>
        <v>100</v>
      </c>
      <c r="F50" s="9">
        <f t="shared" si="1"/>
        <v>0</v>
      </c>
    </row>
    <row r="51" spans="1:7" s="6" customFormat="1" ht="15.75" customHeight="1">
      <c r="A51" s="3"/>
      <c r="B51" s="4" t="s">
        <v>28</v>
      </c>
      <c r="C51" s="373">
        <f>C39+C40</f>
        <v>6689.6918699999997</v>
      </c>
      <c r="D51" s="374">
        <f>D39+D40</f>
        <v>6651.8525899999995</v>
      </c>
      <c r="E51" s="5">
        <f t="shared" si="0"/>
        <v>99.434364381270072</v>
      </c>
      <c r="F51" s="5">
        <f t="shared" si="1"/>
        <v>-37.839280000000144</v>
      </c>
      <c r="G51" s="94"/>
    </row>
    <row r="52" spans="1:7" s="6" customFormat="1">
      <c r="A52" s="3"/>
      <c r="B52" s="21" t="s">
        <v>322</v>
      </c>
      <c r="C52" s="93">
        <f>C51-C101</f>
        <v>-328.24600999999984</v>
      </c>
      <c r="D52" s="93">
        <f>D51-D101</f>
        <v>72.585229999999683</v>
      </c>
      <c r="E52" s="22"/>
      <c r="F52" s="22"/>
    </row>
    <row r="53" spans="1:7">
      <c r="A53" s="23"/>
      <c r="B53" s="24"/>
      <c r="C53" s="250"/>
      <c r="D53" s="250"/>
      <c r="E53" s="26"/>
      <c r="F53" s="92"/>
    </row>
    <row r="54" spans="1:7" ht="42.75" customHeight="1">
      <c r="A54" s="28" t="s">
        <v>1</v>
      </c>
      <c r="B54" s="28" t="s">
        <v>29</v>
      </c>
      <c r="C54" s="243" t="s">
        <v>346</v>
      </c>
      <c r="D54" s="244" t="s">
        <v>415</v>
      </c>
      <c r="E54" s="72" t="s">
        <v>3</v>
      </c>
      <c r="F54" s="74" t="s">
        <v>4</v>
      </c>
    </row>
    <row r="55" spans="1:7">
      <c r="A55" s="8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6">
        <f>C57+C58+C59+C60+C61+C63+C62</f>
        <v>1874.9753800000001</v>
      </c>
      <c r="D56" s="32">
        <f>D57+D58+D59+D60+D61+D63+D62</f>
        <v>1832.9939600000002</v>
      </c>
      <c r="E56" s="34">
        <f>SUM(D56/C56*100)</f>
        <v>97.760961533265572</v>
      </c>
      <c r="F56" s="34">
        <f>SUM(D56-C56)</f>
        <v>-41.981419999999844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1846.39438</v>
      </c>
      <c r="D58" s="37">
        <v>1810.0975000000001</v>
      </c>
      <c r="E58" s="38">
        <f t="shared" ref="E58:E101" si="3">SUM(D58/C58*100)</f>
        <v>98.034175125684698</v>
      </c>
      <c r="F58" s="38">
        <f t="shared" ref="F58:F101" si="4">SUM(D58-C58)</f>
        <v>-36.296879999999874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37">
        <v>16.698</v>
      </c>
      <c r="D61" s="37">
        <v>16.698</v>
      </c>
      <c r="E61" s="38">
        <f t="shared" si="3"/>
        <v>100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>SUM(D62/C62*100)</f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6.883</v>
      </c>
      <c r="D63" s="37">
        <v>6.1984599999999999</v>
      </c>
      <c r="E63" s="38">
        <f t="shared" si="3"/>
        <v>90.054627342728452</v>
      </c>
      <c r="F63" s="38">
        <f t="shared" si="4"/>
        <v>-0.68454000000000015</v>
      </c>
    </row>
    <row r="64" spans="1:7" s="6" customFormat="1">
      <c r="A64" s="41" t="s">
        <v>46</v>
      </c>
      <c r="B64" s="42" t="s">
        <v>47</v>
      </c>
      <c r="C64" s="32">
        <f>C65</f>
        <v>170.749</v>
      </c>
      <c r="D64" s="32">
        <f>D65</f>
        <v>170.749</v>
      </c>
      <c r="E64" s="34">
        <f t="shared" si="3"/>
        <v>100</v>
      </c>
      <c r="F64" s="34">
        <f t="shared" si="4"/>
        <v>0</v>
      </c>
    </row>
    <row r="65" spans="1:7">
      <c r="A65" s="43" t="s">
        <v>48</v>
      </c>
      <c r="B65" s="44" t="s">
        <v>49</v>
      </c>
      <c r="C65" s="37">
        <v>170.749</v>
      </c>
      <c r="D65" s="37">
        <v>170.749</v>
      </c>
      <c r="E65" s="38">
        <f t="shared" si="3"/>
        <v>100</v>
      </c>
      <c r="F65" s="38">
        <f t="shared" si="4"/>
        <v>0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11</v>
      </c>
      <c r="D66" s="32">
        <f>D69+D70</f>
        <v>3</v>
      </c>
      <c r="E66" s="34">
        <f t="shared" si="3"/>
        <v>27.27272727272727</v>
      </c>
      <c r="F66" s="34">
        <f t="shared" si="4"/>
        <v>-8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96">
        <v>1</v>
      </c>
      <c r="D69" s="37">
        <v>0</v>
      </c>
      <c r="E69" s="34">
        <f t="shared" si="3"/>
        <v>0</v>
      </c>
      <c r="F69" s="34">
        <f t="shared" si="4"/>
        <v>-1</v>
      </c>
    </row>
    <row r="70" spans="1:7" ht="15.75" customHeight="1">
      <c r="A70" s="46" t="s">
        <v>219</v>
      </c>
      <c r="B70" s="47" t="s">
        <v>220</v>
      </c>
      <c r="C70" s="37">
        <v>10</v>
      </c>
      <c r="D70" s="37">
        <v>3</v>
      </c>
      <c r="E70" s="34">
        <f t="shared" si="3"/>
        <v>30</v>
      </c>
      <c r="F70" s="34">
        <f t="shared" si="4"/>
        <v>-7</v>
      </c>
    </row>
    <row r="71" spans="1:7" s="6" customFormat="1" ht="17.25" customHeight="1">
      <c r="A71" s="30" t="s">
        <v>58</v>
      </c>
      <c r="B71" s="31" t="s">
        <v>59</v>
      </c>
      <c r="C71" s="48">
        <f>SUM(C72:C75)</f>
        <v>2835.55888</v>
      </c>
      <c r="D71" s="48">
        <f>SUM(D72:D75)</f>
        <v>2690.87817</v>
      </c>
      <c r="E71" s="34">
        <f t="shared" si="3"/>
        <v>94.897629845725504</v>
      </c>
      <c r="F71" s="34">
        <f t="shared" si="4"/>
        <v>-144.68071000000009</v>
      </c>
    </row>
    <row r="72" spans="1:7" ht="15" customHeight="1">
      <c r="A72" s="35" t="s">
        <v>60</v>
      </c>
      <c r="B72" s="39" t="s">
        <v>61</v>
      </c>
      <c r="C72" s="49">
        <v>7.5</v>
      </c>
      <c r="D72" s="37">
        <v>7.5</v>
      </c>
      <c r="E72" s="38">
        <f t="shared" si="3"/>
        <v>100</v>
      </c>
      <c r="F72" s="38">
        <f t="shared" si="4"/>
        <v>0</v>
      </c>
    </row>
    <row r="73" spans="1:7" s="6" customFormat="1" ht="15" customHeight="1">
      <c r="A73" s="35" t="s">
        <v>62</v>
      </c>
      <c r="B73" s="39" t="s">
        <v>63</v>
      </c>
      <c r="C73" s="49">
        <v>476.608</v>
      </c>
      <c r="D73" s="37">
        <v>459.52728999999999</v>
      </c>
      <c r="E73" s="38">
        <f t="shared" si="3"/>
        <v>96.416193181818173</v>
      </c>
      <c r="F73" s="38">
        <f t="shared" si="4"/>
        <v>-17.08071000000001</v>
      </c>
      <c r="G73" s="50"/>
    </row>
    <row r="74" spans="1:7">
      <c r="A74" s="35" t="s">
        <v>64</v>
      </c>
      <c r="B74" s="39" t="s">
        <v>65</v>
      </c>
      <c r="C74" s="49">
        <v>2311.4508799999999</v>
      </c>
      <c r="D74" s="37">
        <v>2211.85088</v>
      </c>
      <c r="E74" s="38">
        <f t="shared" si="3"/>
        <v>95.691018102015661</v>
      </c>
      <c r="F74" s="38">
        <f t="shared" si="4"/>
        <v>-99.599999999999909</v>
      </c>
    </row>
    <row r="75" spans="1:7">
      <c r="A75" s="35" t="s">
        <v>66</v>
      </c>
      <c r="B75" s="39" t="s">
        <v>67</v>
      </c>
      <c r="C75" s="49">
        <v>40</v>
      </c>
      <c r="D75" s="37">
        <v>12</v>
      </c>
      <c r="E75" s="38">
        <f t="shared" si="3"/>
        <v>30</v>
      </c>
      <c r="F75" s="38">
        <f t="shared" si="4"/>
        <v>-28</v>
      </c>
    </row>
    <row r="76" spans="1:7" s="6" customFormat="1" ht="17.25" customHeight="1">
      <c r="A76" s="30" t="s">
        <v>68</v>
      </c>
      <c r="B76" s="31" t="s">
        <v>69</v>
      </c>
      <c r="C76" s="32">
        <f>SUM(C77:C80)</f>
        <v>988.05462</v>
      </c>
      <c r="D76" s="32">
        <f>SUM(D77:D80)</f>
        <v>744.04623000000004</v>
      </c>
      <c r="E76" s="34">
        <f t="shared" si="3"/>
        <v>75.304159804444822</v>
      </c>
      <c r="F76" s="34">
        <f t="shared" si="4"/>
        <v>-244.00838999999996</v>
      </c>
    </row>
    <row r="77" spans="1:7" ht="17.25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5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customHeight="1">
      <c r="A79" s="35" t="s">
        <v>74</v>
      </c>
      <c r="B79" s="39" t="s">
        <v>75</v>
      </c>
      <c r="C79" s="37">
        <v>988.05462</v>
      </c>
      <c r="D79" s="37">
        <v>744.04623000000004</v>
      </c>
      <c r="E79" s="38">
        <f t="shared" si="3"/>
        <v>75.304159804444822</v>
      </c>
      <c r="F79" s="38">
        <f t="shared" si="4"/>
        <v>-244.00838999999996</v>
      </c>
    </row>
    <row r="80" spans="1:7" hidden="1">
      <c r="A80" s="35" t="s">
        <v>264</v>
      </c>
      <c r="B80" s="39" t="s">
        <v>265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 ht="20.25" customHeight="1">
      <c r="A81" s="30" t="s">
        <v>86</v>
      </c>
      <c r="B81" s="31" t="s">
        <v>87</v>
      </c>
      <c r="C81" s="32">
        <f>C82+C83</f>
        <v>1107.5999999999999</v>
      </c>
      <c r="D81" s="32">
        <v>1107.5999999999999</v>
      </c>
      <c r="E81" s="34">
        <f t="shared" si="3"/>
        <v>100</v>
      </c>
      <c r="F81" s="34">
        <f t="shared" si="4"/>
        <v>0</v>
      </c>
    </row>
    <row r="82" spans="1:6" ht="18" hidden="1" customHeight="1">
      <c r="A82" s="35" t="s">
        <v>88</v>
      </c>
      <c r="B82" s="39" t="s">
        <v>234</v>
      </c>
      <c r="C82" s="37">
        <v>1107.5999999999999</v>
      </c>
      <c r="D82" s="37">
        <v>833.4</v>
      </c>
      <c r="E82" s="38">
        <f t="shared" si="3"/>
        <v>75.243770314192844</v>
      </c>
      <c r="F82" s="38">
        <f t="shared" si="4"/>
        <v>-274.19999999999993</v>
      </c>
    </row>
    <row r="83" spans="1:6" hidden="1">
      <c r="A83" s="35" t="s">
        <v>273</v>
      </c>
      <c r="B83" s="39" t="s">
        <v>274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s="6" customFormat="1" hidden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8" t="e">
        <f t="shared" si="3"/>
        <v>#DIV/0!</v>
      </c>
      <c r="F84" s="38">
        <f t="shared" si="4"/>
        <v>0</v>
      </c>
    </row>
    <row r="85" spans="1:6" hidden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" hidden="1" customHeight="1">
      <c r="A87" s="53">
        <v>1004</v>
      </c>
      <c r="B87" s="54" t="s">
        <v>92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8.75" customHeight="1">
      <c r="A89" s="52">
        <v>1000</v>
      </c>
      <c r="B89" s="31" t="s">
        <v>89</v>
      </c>
      <c r="C89" s="32">
        <f>SUM(C90)</f>
        <v>0</v>
      </c>
      <c r="D89" s="32">
        <f>SUM(D90)</f>
        <v>0</v>
      </c>
      <c r="E89" s="34" t="e">
        <f t="shared" si="3"/>
        <v>#DIV/0!</v>
      </c>
      <c r="F89" s="34">
        <f t="shared" si="4"/>
        <v>0</v>
      </c>
    </row>
    <row r="90" spans="1:6" ht="20.25" customHeight="1">
      <c r="A90" s="53">
        <v>1006</v>
      </c>
      <c r="B90" s="54" t="s">
        <v>90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6.5" customHeight="1">
      <c r="A91" s="53">
        <v>1100</v>
      </c>
      <c r="B91" s="56" t="s">
        <v>96</v>
      </c>
      <c r="C91" s="32">
        <f>C92+C93+C94+C95+C96</f>
        <v>30</v>
      </c>
      <c r="D91" s="32">
        <f>D92+D93+D94+D95+D96</f>
        <v>30</v>
      </c>
      <c r="E91" s="38">
        <f t="shared" si="3"/>
        <v>100</v>
      </c>
      <c r="F91" s="22">
        <f>F92+F93+F94+F95+F96</f>
        <v>0</v>
      </c>
    </row>
    <row r="92" spans="1:6" ht="18.75" customHeight="1">
      <c r="A92" s="53">
        <v>1101</v>
      </c>
      <c r="B92" s="54" t="s">
        <v>98</v>
      </c>
      <c r="C92" s="37">
        <v>30</v>
      </c>
      <c r="D92" s="37">
        <v>30</v>
      </c>
      <c r="E92" s="38">
        <f t="shared" si="3"/>
        <v>100</v>
      </c>
      <c r="F92" s="38">
        <f>SUM(D92-C92)</f>
        <v>0</v>
      </c>
    </row>
    <row r="93" spans="1:6" ht="0.75" hidden="1" customHeight="1">
      <c r="A93" s="35" t="s">
        <v>93</v>
      </c>
      <c r="B93" s="39" t="s">
        <v>94</v>
      </c>
      <c r="C93" s="37"/>
      <c r="D93" s="37"/>
      <c r="E93" s="38" t="e">
        <f t="shared" si="3"/>
        <v>#DIV/0!</v>
      </c>
      <c r="F93" s="38">
        <f>SUM(D93-C93)</f>
        <v>0</v>
      </c>
    </row>
    <row r="94" spans="1:6" ht="18" hidden="1" customHeight="1">
      <c r="A94" s="35" t="s">
        <v>101</v>
      </c>
      <c r="B94" s="39" t="s">
        <v>102</v>
      </c>
      <c r="C94" s="37"/>
      <c r="D94" s="37"/>
      <c r="E94" s="38" t="e">
        <f t="shared" si="3"/>
        <v>#DIV/0!</v>
      </c>
      <c r="F94" s="38"/>
    </row>
    <row r="95" spans="1:6" ht="17.25" hidden="1" customHeight="1">
      <c r="A95" s="35" t="s">
        <v>103</v>
      </c>
      <c r="B95" s="39" t="s">
        <v>104</v>
      </c>
      <c r="C95" s="37"/>
      <c r="D95" s="37"/>
      <c r="E95" s="38" t="e">
        <f t="shared" si="3"/>
        <v>#DIV/0!</v>
      </c>
      <c r="F95" s="38"/>
    </row>
    <row r="96" spans="1:6" ht="18" hidden="1" customHeight="1">
      <c r="A96" s="35" t="s">
        <v>105</v>
      </c>
      <c r="B96" s="39" t="s">
        <v>106</v>
      </c>
      <c r="C96" s="37"/>
      <c r="D96" s="37"/>
      <c r="E96" s="38" t="e">
        <f t="shared" si="3"/>
        <v>#DIV/0!</v>
      </c>
      <c r="F96" s="38"/>
    </row>
    <row r="97" spans="1:6" s="6" customFormat="1" ht="57.75" hidden="1" customHeight="1">
      <c r="A97" s="52">
        <v>1400</v>
      </c>
      <c r="B97" s="56" t="s">
        <v>115</v>
      </c>
      <c r="C97" s="48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.5" hidden="1" customHeight="1">
      <c r="A98" s="53">
        <v>1401</v>
      </c>
      <c r="B98" s="54" t="s">
        <v>116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6.5" customHeight="1">
      <c r="A99" s="53">
        <v>1402</v>
      </c>
      <c r="B99" s="54" t="s">
        <v>117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ht="20.25" customHeight="1">
      <c r="A100" s="53">
        <v>1403</v>
      </c>
      <c r="B100" s="54" t="s">
        <v>118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s="6" customFormat="1" ht="14.25" customHeight="1">
      <c r="A101" s="52"/>
      <c r="B101" s="57" t="s">
        <v>119</v>
      </c>
      <c r="C101" s="377">
        <f>C56+C64+C66+C71+C76+C81+C84+C91+C97+C89</f>
        <v>7017.9378799999995</v>
      </c>
      <c r="D101" s="377">
        <f>D56+D64+D66+D71+D76+D81+D84+D91+D97+D89</f>
        <v>6579.2673599999998</v>
      </c>
      <c r="E101" s="34">
        <f t="shared" si="3"/>
        <v>93.749296053900096</v>
      </c>
      <c r="F101" s="34">
        <f t="shared" si="4"/>
        <v>-438.67051999999967</v>
      </c>
    </row>
    <row r="102" spans="1:6">
      <c r="D102" s="245"/>
    </row>
    <row r="103" spans="1:6" s="65" customFormat="1" ht="12.75">
      <c r="A103" s="63" t="s">
        <v>120</v>
      </c>
      <c r="B103" s="63"/>
      <c r="C103" s="119"/>
      <c r="D103" s="64"/>
    </row>
    <row r="104" spans="1:6" s="65" customFormat="1" ht="18.75" customHeight="1">
      <c r="A104" s="66" t="s">
        <v>121</v>
      </c>
      <c r="B104" s="66"/>
      <c r="C104" s="65" t="s">
        <v>122</v>
      </c>
    </row>
  </sheetData>
  <customSheetViews>
    <customSheetView guid="{487FB2A4-0730-401E-81DB-8304F8599D85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1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3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4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5"/>
    </customSheetView>
    <customSheetView guid="{B30CE22D-C12F-4E12-8BB9-3AAE0A6991CC}" scale="70" showPageBreaks="1" hiddenRows="1" view="pageBreakPreview" topLeftCell="A13">
      <selection activeCell="C73" sqref="C73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5BFCA170-DEAE-4D2C-98A0-1E68B427AC01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7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3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7</vt:i4>
      </vt:variant>
    </vt:vector>
  </HeadingPairs>
  <TitlesOfParts>
    <vt:vector size="28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2019-01-16T11:37:56Z</cp:lastPrinted>
  <dcterms:created xsi:type="dcterms:W3CDTF">1996-10-08T23:32:33Z</dcterms:created>
  <dcterms:modified xsi:type="dcterms:W3CDTF">2019-05-10T11:13:45Z</dcterms:modified>
</cp:coreProperties>
</file>